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kochandco-my.sharepoint.com/personal/anne_kochcabinet_com/Documents/Desktop/"/>
    </mc:Choice>
  </mc:AlternateContent>
  <xr:revisionPtr revIDLastSave="0" documentId="8_{808684A2-E804-4076-A83A-357A14B663DD}" xr6:coauthVersionLast="47" xr6:coauthVersionMax="47" xr10:uidLastSave="{00000000-0000-0000-0000-000000000000}"/>
  <bookViews>
    <workbookView xWindow="-120" yWindow="-120" windowWidth="30960" windowHeight="16920" xr2:uid="{B5AF615B-9163-4698-A3F1-0AA3AC1AB661}"/>
  </bookViews>
  <sheets>
    <sheet name="APPL PNL" sheetId="2" r:id="rId1"/>
    <sheet name="Table" sheetId="3" state="hidden" r:id="rId2"/>
  </sheets>
  <definedNames>
    <definedName name="railwidth">'APPL PNL'!$V$3</definedName>
    <definedName name="stilewidth">'APPL PNL'!$V$2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" l="1"/>
  <c r="D8" i="2" s="1"/>
  <c r="V2" i="2"/>
  <c r="V3" i="2"/>
  <c r="BE18" i="2" l="1"/>
  <c r="BP18" i="2"/>
  <c r="BJ31" i="2"/>
  <c r="BE20" i="2"/>
  <c r="BK32" i="2"/>
  <c r="BE22" i="2"/>
  <c r="BE34" i="2"/>
  <c r="BK20" i="2"/>
  <c r="BK34" i="2"/>
  <c r="BJ19" i="2"/>
  <c r="BE36" i="2"/>
  <c r="BC41" i="2"/>
  <c r="BK28" i="2"/>
  <c r="BS18" i="2"/>
  <c r="BE24" i="2"/>
  <c r="BE30" i="2"/>
  <c r="BE26" i="2"/>
  <c r="BC18" i="2"/>
  <c r="BQ18" i="2" s="1"/>
  <c r="BK26" i="2"/>
  <c r="BD17" i="2"/>
  <c r="BD37" i="2" s="1"/>
  <c r="BJ25" i="2"/>
  <c r="BD39" i="2"/>
  <c r="BE28" i="2"/>
  <c r="BK22" i="2"/>
  <c r="BU17" i="2"/>
  <c r="BD18" i="2"/>
  <c r="BE32" i="2"/>
  <c r="AP26" i="2"/>
  <c r="AN18" i="2"/>
  <c r="AV18" i="2" s="1"/>
  <c r="AU18" i="2"/>
  <c r="AP30" i="2"/>
  <c r="AP20" i="2"/>
  <c r="AP32" i="2"/>
  <c r="AP22" i="2"/>
  <c r="AP34" i="2"/>
  <c r="AN41" i="2"/>
  <c r="AP28" i="2"/>
  <c r="AX18" i="2"/>
  <c r="AO17" i="2"/>
  <c r="AO37" i="2" s="1"/>
  <c r="AZ17" i="2"/>
  <c r="AP18" i="2"/>
  <c r="AP24" i="2"/>
  <c r="AP36" i="2"/>
  <c r="AO18" i="2"/>
  <c r="AO39" i="2"/>
  <c r="Z30" i="2"/>
  <c r="T37" i="2"/>
  <c r="R26" i="2"/>
  <c r="AF26" i="2" s="1"/>
  <c r="T26" i="2"/>
  <c r="D40" i="2"/>
  <c r="T30" i="2"/>
  <c r="T35" i="2"/>
  <c r="T33" i="2"/>
  <c r="S26" i="2"/>
  <c r="AH26" i="2"/>
  <c r="C43" i="2"/>
  <c r="Y27" i="2"/>
  <c r="Y34" i="2"/>
  <c r="Z37" i="2"/>
  <c r="AE26" i="2"/>
  <c r="D26" i="2"/>
  <c r="B45" i="2"/>
  <c r="Z28" i="2"/>
  <c r="Z35" i="2"/>
  <c r="S25" i="2"/>
  <c r="S41" i="2" s="1"/>
  <c r="T40" i="2"/>
  <c r="S43" i="2"/>
  <c r="D28" i="2"/>
  <c r="T28" i="2"/>
  <c r="AJ25" i="2"/>
  <c r="R45" i="2"/>
  <c r="C25" i="2"/>
  <c r="C41" i="2" s="1"/>
  <c r="D30" i="2"/>
  <c r="M26" i="2"/>
  <c r="T17" i="2"/>
  <c r="D33" i="2"/>
  <c r="O25" i="2"/>
  <c r="Y9" i="2"/>
  <c r="D35" i="2"/>
  <c r="B26" i="2"/>
  <c r="K26" i="2" s="1"/>
  <c r="D37" i="2"/>
  <c r="C26" i="2"/>
  <c r="J26" i="2"/>
  <c r="Z10" i="2"/>
  <c r="S8" i="2"/>
  <c r="Z13" i="2"/>
  <c r="T8" i="2"/>
  <c r="AE8" i="2"/>
  <c r="S20" i="2"/>
  <c r="R22" i="2"/>
  <c r="AH8" i="2"/>
  <c r="AJ7" i="2"/>
  <c r="R9" i="2"/>
  <c r="AF9" i="2" s="1"/>
  <c r="T10" i="2"/>
  <c r="S7" i="2"/>
  <c r="S18" i="2" s="1"/>
  <c r="T13" i="2"/>
  <c r="C7" i="2"/>
  <c r="C18" i="2" s="1"/>
  <c r="B8" i="2"/>
  <c r="K8" i="2" s="1"/>
  <c r="M8" i="2"/>
  <c r="D10" i="2"/>
  <c r="O7" i="2"/>
  <c r="D13" i="2"/>
  <c r="C8" i="2"/>
  <c r="D17" i="2"/>
  <c r="J8" i="2"/>
  <c r="C20" i="2"/>
  <c r="B22" i="2"/>
  <c r="O41" i="2"/>
  <c r="BP36" i="2"/>
  <c r="AE40" i="2"/>
  <c r="AD40" i="2"/>
  <c r="AC40" i="2"/>
  <c r="AB40" i="2"/>
  <c r="AA40" i="2"/>
  <c r="Z40" i="2"/>
  <c r="Y40" i="2"/>
  <c r="X40" i="2"/>
  <c r="W40" i="2"/>
  <c r="V40" i="2"/>
  <c r="U40" i="2"/>
  <c r="O40" i="2"/>
  <c r="M40" i="2"/>
  <c r="J40" i="2"/>
  <c r="I40" i="2"/>
  <c r="H40" i="2"/>
  <c r="G40" i="2"/>
  <c r="F40" i="2"/>
  <c r="E40" i="2"/>
  <c r="C40" i="2"/>
  <c r="BP35" i="2"/>
  <c r="AE39" i="2"/>
  <c r="O39" i="2"/>
  <c r="M39" i="2"/>
  <c r="J39" i="2"/>
  <c r="C39" i="2"/>
  <c r="BP34" i="2"/>
  <c r="AE38" i="2"/>
  <c r="O38" i="2"/>
  <c r="M38" i="2"/>
  <c r="J38" i="2"/>
  <c r="C38" i="2"/>
  <c r="BP33" i="2"/>
  <c r="AE37" i="2"/>
  <c r="AD37" i="2"/>
  <c r="AC37" i="2"/>
  <c r="AB37" i="2"/>
  <c r="AA37" i="2"/>
  <c r="X37" i="2"/>
  <c r="W37" i="2"/>
  <c r="V37" i="2"/>
  <c r="U37" i="2"/>
  <c r="O37" i="2"/>
  <c r="M37" i="2"/>
  <c r="J37" i="2"/>
  <c r="I37" i="2"/>
  <c r="H37" i="2"/>
  <c r="G37" i="2"/>
  <c r="F37" i="2"/>
  <c r="E37" i="2"/>
  <c r="C37" i="2"/>
  <c r="BP32" i="2"/>
  <c r="AE36" i="2"/>
  <c r="O36" i="2"/>
  <c r="M36" i="2"/>
  <c r="J36" i="2"/>
  <c r="C36" i="2"/>
  <c r="BP31" i="2"/>
  <c r="AE35" i="2"/>
  <c r="AD35" i="2"/>
  <c r="AC35" i="2"/>
  <c r="AB35" i="2"/>
  <c r="AA35" i="2"/>
  <c r="X35" i="2"/>
  <c r="W35" i="2"/>
  <c r="V35" i="2"/>
  <c r="U35" i="2"/>
  <c r="O35" i="2"/>
  <c r="M35" i="2"/>
  <c r="J35" i="2"/>
  <c r="I35" i="2"/>
  <c r="H35" i="2"/>
  <c r="G35" i="2"/>
  <c r="F35" i="2"/>
  <c r="E35" i="2"/>
  <c r="C35" i="2"/>
  <c r="BP30" i="2"/>
  <c r="AE34" i="2"/>
  <c r="O34" i="2"/>
  <c r="M34" i="2"/>
  <c r="J34" i="2"/>
  <c r="C34" i="2"/>
  <c r="BP29" i="2"/>
  <c r="AE33" i="2"/>
  <c r="X33" i="2"/>
  <c r="W33" i="2"/>
  <c r="V33" i="2"/>
  <c r="U33" i="2"/>
  <c r="O33" i="2"/>
  <c r="M33" i="2"/>
  <c r="J33" i="2"/>
  <c r="I33" i="2"/>
  <c r="H33" i="2"/>
  <c r="G33" i="2"/>
  <c r="F33" i="2"/>
  <c r="E33" i="2"/>
  <c r="C33" i="2"/>
  <c r="BP28" i="2"/>
  <c r="AE32" i="2"/>
  <c r="O32" i="2"/>
  <c r="M32" i="2"/>
  <c r="J32" i="2"/>
  <c r="C32" i="2"/>
  <c r="BP27" i="2"/>
  <c r="AE31" i="2"/>
  <c r="O31" i="2"/>
  <c r="M31" i="2"/>
  <c r="J31" i="2"/>
  <c r="C31" i="2"/>
  <c r="BP26" i="2"/>
  <c r="AE30" i="2"/>
  <c r="AD30" i="2"/>
  <c r="AC30" i="2"/>
  <c r="AB30" i="2"/>
  <c r="AA30" i="2"/>
  <c r="X30" i="2"/>
  <c r="W30" i="2"/>
  <c r="V30" i="2"/>
  <c r="U30" i="2"/>
  <c r="O30" i="2"/>
  <c r="M30" i="2"/>
  <c r="J30" i="2"/>
  <c r="I30" i="2"/>
  <c r="H30" i="2"/>
  <c r="G30" i="2"/>
  <c r="F30" i="2"/>
  <c r="E30" i="2"/>
  <c r="C30" i="2"/>
  <c r="BP25" i="2"/>
  <c r="AE29" i="2"/>
  <c r="O29" i="2"/>
  <c r="M29" i="2"/>
  <c r="J29" i="2"/>
  <c r="C29" i="2"/>
  <c r="BP24" i="2"/>
  <c r="AE28" i="2"/>
  <c r="AD28" i="2"/>
  <c r="AC28" i="2"/>
  <c r="AB28" i="2"/>
  <c r="AA28" i="2"/>
  <c r="O28" i="2"/>
  <c r="M28" i="2"/>
  <c r="J28" i="2"/>
  <c r="I28" i="2"/>
  <c r="H28" i="2"/>
  <c r="G28" i="2"/>
  <c r="F28" i="2"/>
  <c r="E28" i="2"/>
  <c r="C28" i="2"/>
  <c r="BP23" i="2"/>
  <c r="AE27" i="2"/>
  <c r="O27" i="2"/>
  <c r="M27" i="2"/>
  <c r="J27" i="2"/>
  <c r="C27" i="2"/>
  <c r="BP22" i="2"/>
  <c r="AD26" i="2"/>
  <c r="AC26" i="2"/>
  <c r="AB26" i="2"/>
  <c r="AA26" i="2"/>
  <c r="Z26" i="2"/>
  <c r="Y26" i="2"/>
  <c r="X26" i="2"/>
  <c r="W26" i="2"/>
  <c r="V26" i="2"/>
  <c r="U26" i="2"/>
  <c r="O26" i="2"/>
  <c r="I26" i="2"/>
  <c r="H26" i="2"/>
  <c r="G26" i="2"/>
  <c r="F26" i="2"/>
  <c r="E26" i="2"/>
  <c r="BP21" i="2"/>
  <c r="BP20" i="2"/>
  <c r="BP19" i="2"/>
  <c r="AE17" i="2"/>
  <c r="AD17" i="2"/>
  <c r="AC17" i="2"/>
  <c r="AB17" i="2"/>
  <c r="AA17" i="2"/>
  <c r="C14" i="2" s="1"/>
  <c r="Z17" i="2"/>
  <c r="Y17" i="2"/>
  <c r="X17" i="2"/>
  <c r="W17" i="2"/>
  <c r="V17" i="2"/>
  <c r="U17" i="2"/>
  <c r="S17" i="2"/>
  <c r="J17" i="2"/>
  <c r="I17" i="2"/>
  <c r="H17" i="2"/>
  <c r="G17" i="2"/>
  <c r="F17" i="2"/>
  <c r="E17" i="2"/>
  <c r="C17" i="2"/>
  <c r="AE16" i="2"/>
  <c r="G13" i="2" s="1"/>
  <c r="Y16" i="2"/>
  <c r="S16" i="2"/>
  <c r="J16" i="2"/>
  <c r="C16" i="2"/>
  <c r="AE15" i="2"/>
  <c r="Y15" i="2"/>
  <c r="S15" i="2"/>
  <c r="J15" i="2"/>
  <c r="C15" i="2"/>
  <c r="AE14" i="2"/>
  <c r="Y14" i="2"/>
  <c r="S14" i="2"/>
  <c r="J14" i="2"/>
  <c r="AE13" i="2"/>
  <c r="Y13" i="2"/>
  <c r="S13" i="2"/>
  <c r="J13" i="2"/>
  <c r="I13" i="2"/>
  <c r="H13" i="2"/>
  <c r="F13" i="2"/>
  <c r="E13" i="2"/>
  <c r="C13" i="2"/>
  <c r="AE12" i="2"/>
  <c r="Y12" i="2"/>
  <c r="S12" i="2"/>
  <c r="J12" i="2"/>
  <c r="C12" i="2"/>
  <c r="AE11" i="2"/>
  <c r="Y11" i="2"/>
  <c r="S11" i="2"/>
  <c r="J11" i="2"/>
  <c r="AE10" i="2"/>
  <c r="AD10" i="2"/>
  <c r="AC10" i="2"/>
  <c r="AB10" i="2"/>
  <c r="AA10" i="2"/>
  <c r="Y10" i="2"/>
  <c r="X10" i="2"/>
  <c r="W10" i="2"/>
  <c r="V10" i="2"/>
  <c r="U10" i="2"/>
  <c r="S10" i="2"/>
  <c r="J10" i="2"/>
  <c r="I10" i="2"/>
  <c r="H10" i="2"/>
  <c r="F10" i="2"/>
  <c r="E10" i="2"/>
  <c r="C10" i="2"/>
  <c r="AE9" i="2"/>
  <c r="S9" i="2"/>
  <c r="J9" i="2"/>
  <c r="C9" i="2"/>
  <c r="C11" i="2" l="1"/>
  <c r="G10" i="2"/>
</calcChain>
</file>

<file path=xl/sharedStrings.xml><?xml version="1.0" encoding="utf-8"?>
<sst xmlns="http://schemas.openxmlformats.org/spreadsheetml/2006/main" count="96" uniqueCount="48">
  <si>
    <t>Images are not drawn to scale</t>
  </si>
  <si>
    <t>Applied Door Width</t>
  </si>
  <si>
    <t>Applied Door Height</t>
  </si>
  <si>
    <t>Door Style</t>
  </si>
  <si>
    <t>Authentic Appliance Panels
Mortise &amp; Tenon Door
Stile and Rail Configuration</t>
  </si>
  <si>
    <t>Backer Panel Width</t>
  </si>
  <si>
    <t>Backer Panel Height</t>
  </si>
  <si>
    <t>Stile Width</t>
  </si>
  <si>
    <t>Rail Width</t>
  </si>
  <si>
    <t>DoorStyle</t>
  </si>
  <si>
    <t>PanelType</t>
  </si>
  <si>
    <t>InsideProfile</t>
  </si>
  <si>
    <t>StileWidth</t>
  </si>
  <si>
    <t>RailWidth</t>
  </si>
  <si>
    <t>CabLine</t>
  </si>
  <si>
    <t>5pcRailWidthSM</t>
  </si>
  <si>
    <t>5pcRailWidthLG</t>
  </si>
  <si>
    <t>5pcStileWidth</t>
  </si>
  <si>
    <t>Panel Inset</t>
  </si>
  <si>
    <t>Aspen15</t>
  </si>
  <si>
    <t>RevRsd</t>
  </si>
  <si>
    <t>Bevel15</t>
  </si>
  <si>
    <t>Classic</t>
  </si>
  <si>
    <t>Augusta15</t>
  </si>
  <si>
    <t>Flat</t>
  </si>
  <si>
    <t>Cove</t>
  </si>
  <si>
    <t>Rsd</t>
  </si>
  <si>
    <t>Std</t>
  </si>
  <si>
    <t>Bristol</t>
  </si>
  <si>
    <t>Centennial15</t>
  </si>
  <si>
    <t>Charleston15</t>
  </si>
  <si>
    <t>Easton</t>
  </si>
  <si>
    <t>Fairway</t>
  </si>
  <si>
    <t>Harbor</t>
  </si>
  <si>
    <t>Hastings15</t>
  </si>
  <si>
    <t>Madison15</t>
  </si>
  <si>
    <t>RevRsdBeaded</t>
  </si>
  <si>
    <t>Norfolk15</t>
  </si>
  <si>
    <t>Orleans</t>
  </si>
  <si>
    <t>Plateau</t>
  </si>
  <si>
    <t>Prairie</t>
  </si>
  <si>
    <t>Savannah15</t>
  </si>
  <si>
    <t>Seneca</t>
  </si>
  <si>
    <t>Summerhill</t>
  </si>
  <si>
    <t>Vicksburg</t>
  </si>
  <si>
    <t>.</t>
  </si>
  <si>
    <t>Riverton</t>
  </si>
  <si>
    <t>Reeded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</si>
</sst>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Ink Free"/>
      <family val="4"/>
    </font>
    <font>
      <b/>
      <i/>
      <sz val="12"/>
      <color theme="1"/>
      <name val="Ink Free"/>
      <family val="4"/>
    </font>
    <font>
      <b/>
      <sz val="10"/>
      <color theme="1"/>
      <name val="Ink Free"/>
      <family val="4"/>
    </font>
    <font>
      <sz val="12"/>
      <color theme="1"/>
      <name val="Ink Free"/>
      <family val="4"/>
    </font>
    <font>
      <b/>
      <sz val="16"/>
      <color theme="1"/>
      <name val="Ink Free"/>
      <family val="4"/>
    </font>
    <font>
      <b/>
      <u/>
      <sz val="11"/>
      <color rgb="FFFF0000"/>
      <name val="Aptos Narrow"/>
      <family val="2"/>
      <scheme val="minor"/>
    </font>
    <font>
      <b/>
      <sz val="12"/>
      <color rgb="FFFF0000"/>
      <name val="Ink Free"/>
      <family val="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/>
    <xf numFmtId="164" fontId="3" fillId="0" borderId="0" xfId="1" applyNumberFormat="1" applyFont="1" applyAlignment="1">
      <alignment horizontal="center"/>
    </xf>
    <xf numFmtId="164" fontId="3" fillId="2" borderId="1" xfId="1" applyNumberFormat="1" applyFont="1" applyFill="1" applyBorder="1"/>
    <xf numFmtId="164" fontId="3" fillId="2" borderId="3" xfId="1" applyNumberFormat="1" applyFont="1" applyFill="1" applyBorder="1"/>
    <xf numFmtId="164" fontId="3" fillId="0" borderId="4" xfId="1" applyNumberFormat="1" applyFont="1" applyBorder="1"/>
    <xf numFmtId="164" fontId="3" fillId="0" borderId="0" xfId="1" applyNumberFormat="1" applyFont="1" applyAlignment="1">
      <alignment horizontal="center" vertical="center" textRotation="90"/>
    </xf>
    <xf numFmtId="164" fontId="3" fillId="2" borderId="5" xfId="1" applyNumberFormat="1" applyFont="1" applyFill="1" applyBorder="1"/>
    <xf numFmtId="164" fontId="3" fillId="2" borderId="8" xfId="1" applyNumberFormat="1" applyFont="1" applyFill="1" applyBorder="1"/>
    <xf numFmtId="164" fontId="3" fillId="2" borderId="8" xfId="1" applyNumberFormat="1" applyFont="1" applyFill="1" applyBorder="1" applyAlignment="1">
      <alignment vertical="center" textRotation="90"/>
    </xf>
    <xf numFmtId="164" fontId="3" fillId="2" borderId="11" xfId="1" applyNumberFormat="1" applyFont="1" applyFill="1" applyBorder="1"/>
    <xf numFmtId="164" fontId="3" fillId="2" borderId="12" xfId="1" applyNumberFormat="1" applyFont="1" applyFill="1" applyBorder="1"/>
    <xf numFmtId="164" fontId="3" fillId="0" borderId="2" xfId="1" applyNumberFormat="1" applyFont="1" applyBorder="1"/>
    <xf numFmtId="164" fontId="7" fillId="0" borderId="0" xfId="1" applyNumberFormat="1" applyFont="1" applyAlignment="1">
      <alignment vertical="center" wrapText="1"/>
    </xf>
    <xf numFmtId="164" fontId="3" fillId="0" borderId="0" xfId="1" applyNumberFormat="1" applyFont="1" applyAlignment="1">
      <alignment horizontal="left" vertical="center" indent="1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vertical="center"/>
    </xf>
    <xf numFmtId="0" fontId="8" fillId="5" borderId="0" xfId="0" applyFont="1" applyFill="1"/>
    <xf numFmtId="0" fontId="0" fillId="5" borderId="0" xfId="0" applyFill="1"/>
    <xf numFmtId="164" fontId="9" fillId="0" borderId="0" xfId="1" applyNumberFormat="1" applyFont="1"/>
    <xf numFmtId="164" fontId="5" fillId="0" borderId="16" xfId="1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4" fontId="5" fillId="4" borderId="16" xfId="1" applyNumberFormat="1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horizontal="center"/>
      <protection locked="0"/>
    </xf>
    <xf numFmtId="164" fontId="5" fillId="0" borderId="16" xfId="1" applyNumberFormat="1" applyFont="1" applyBorder="1"/>
    <xf numFmtId="0" fontId="2" fillId="0" borderId="17" xfId="0" applyFont="1" applyBorder="1"/>
    <xf numFmtId="0" fontId="2" fillId="0" borderId="18" xfId="0" applyFont="1" applyBorder="1"/>
    <xf numFmtId="0" fontId="0" fillId="0" borderId="18" xfId="0" applyBorder="1"/>
    <xf numFmtId="164" fontId="3" fillId="0" borderId="0" xfId="1" applyNumberFormat="1" applyFont="1" applyAlignment="1">
      <alignment horizontal="left" indent="1"/>
    </xf>
    <xf numFmtId="164" fontId="3" fillId="0" borderId="6" xfId="1" applyNumberFormat="1" applyFont="1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164" fontId="3" fillId="0" borderId="15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164" fontId="3" fillId="0" borderId="14" xfId="1" applyNumberFormat="1" applyFont="1" applyBorder="1" applyAlignment="1">
      <alignment horizontal="center"/>
    </xf>
    <xf numFmtId="164" fontId="3" fillId="2" borderId="8" xfId="1" applyNumberFormat="1" applyFont="1" applyFill="1" applyBorder="1" applyAlignment="1">
      <alignment horizontal="center" vertical="center" textRotation="90"/>
    </xf>
    <xf numFmtId="164" fontId="3" fillId="0" borderId="2" xfId="1" applyNumberFormat="1" applyFont="1" applyBorder="1" applyAlignment="1">
      <alignment horizontal="center" vertical="center" textRotation="90"/>
    </xf>
    <xf numFmtId="164" fontId="3" fillId="0" borderId="0" xfId="1" applyNumberFormat="1" applyFont="1" applyAlignment="1">
      <alignment horizontal="center" vertical="center" textRotation="90"/>
    </xf>
    <xf numFmtId="164" fontId="3" fillId="0" borderId="4" xfId="1" applyNumberFormat="1" applyFont="1" applyBorder="1" applyAlignment="1">
      <alignment horizontal="center" vertical="center" textRotation="90"/>
    </xf>
    <xf numFmtId="164" fontId="3" fillId="0" borderId="0" xfId="1" applyNumberFormat="1" applyFont="1" applyAlignment="1">
      <alignment horizontal="right" indent="1"/>
    </xf>
    <xf numFmtId="164" fontId="3" fillId="0" borderId="9" xfId="1" applyNumberFormat="1" applyFont="1" applyBorder="1" applyAlignment="1">
      <alignment horizontal="center" vertical="center" textRotation="90"/>
    </xf>
    <xf numFmtId="164" fontId="3" fillId="2" borderId="2" xfId="1" applyNumberFormat="1" applyFont="1" applyFill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0" fillId="0" borderId="13" xfId="0" applyBorder="1" applyAlignment="1">
      <alignment horizontal="center" vertical="center" textRotation="90"/>
    </xf>
    <xf numFmtId="164" fontId="3" fillId="2" borderId="4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 vertical="center" textRotation="90"/>
    </xf>
    <xf numFmtId="164" fontId="3" fillId="2" borderId="5" xfId="1" applyNumberFormat="1" applyFont="1" applyFill="1" applyBorder="1" applyAlignment="1">
      <alignment horizontal="center" vertical="center" textRotation="90"/>
    </xf>
    <xf numFmtId="164" fontId="3" fillId="2" borderId="4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  <xf numFmtId="164" fontId="6" fillId="3" borderId="10" xfId="1" applyNumberFormat="1" applyFont="1" applyFill="1" applyBorder="1" applyAlignment="1" applyProtection="1">
      <alignment horizontal="center" vertical="center"/>
      <protection locked="0"/>
    </xf>
    <xf numFmtId="164" fontId="6" fillId="0" borderId="1" xfId="1" applyNumberFormat="1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11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164" fontId="6" fillId="0" borderId="12" xfId="1" applyNumberFormat="1" applyFont="1" applyBorder="1" applyAlignment="1">
      <alignment horizontal="center" vertical="center"/>
    </xf>
    <xf numFmtId="164" fontId="7" fillId="0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2DE7D12E-9B76-4FF1-AD5B-C4ED761C7826}"/>
  </cellStyles>
  <dxfs count="12">
    <dxf>
      <fill>
        <patternFill patternType="solid">
          <fgColor indexed="64"/>
          <bgColor theme="3" tint="0.89999084444715716"/>
        </patternFill>
      </fill>
    </dxf>
    <dxf>
      <fill>
        <patternFill patternType="solid">
          <fgColor indexed="64"/>
          <bgColor theme="3" tint="0.89999084444715716"/>
        </patternFill>
      </fill>
    </dxf>
    <dxf>
      <fill>
        <patternFill patternType="solid">
          <fgColor indexed="64"/>
          <bgColor theme="3" tint="0.89999084444715716"/>
        </patternFill>
      </fill>
    </dxf>
    <dxf>
      <fill>
        <patternFill patternType="solid">
          <fgColor indexed="64"/>
          <bgColor theme="3" tint="0.89999084444715716"/>
        </patternFill>
      </fill>
    </dxf>
    <dxf>
      <fill>
        <patternFill patternType="solid">
          <fgColor indexed="64"/>
          <bgColor theme="3" tint="0.89999084444715716"/>
        </patternFill>
      </fill>
    </dxf>
    <dxf>
      <fill>
        <patternFill patternType="solid">
          <fgColor indexed="64"/>
          <bgColor theme="3" tint="0.89999084444715716"/>
        </patternFill>
      </fill>
    </dxf>
    <dxf>
      <fill>
        <patternFill patternType="solid">
          <fgColor indexed="64"/>
          <bgColor theme="3" tint="0.89999084444715716"/>
        </patternFill>
      </fill>
    </dxf>
    <dxf>
      <fill>
        <patternFill patternType="solid">
          <fgColor indexed="64"/>
          <bgColor theme="3" tint="0.89999084444715716"/>
        </patternFill>
      </fill>
    </dxf>
    <dxf>
      <fill>
        <patternFill patternType="solid">
          <fgColor indexed="64"/>
          <bgColor theme="3" tint="0.89999084444715716"/>
        </patternFill>
      </fill>
    </dxf>
    <dxf>
      <fill>
        <patternFill patternType="solid">
          <fgColor indexed="64"/>
          <bgColor theme="3" tint="0.89999084444715716"/>
        </patternFill>
      </fill>
    </dxf>
    <dxf>
      <fill>
        <patternFill patternType="solid">
          <fgColor indexed="64"/>
          <bgColor theme="3" tint="0.89999084444715716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FF0000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4.jpg@01DA6A1F.8BA5CBC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19</xdr:row>
      <xdr:rowOff>114300</xdr:rowOff>
    </xdr:from>
    <xdr:to>
      <xdr:col>22</xdr:col>
      <xdr:colOff>161925</xdr:colOff>
      <xdr:row>19</xdr:row>
      <xdr:rowOff>114300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7AA10E93-0457-4333-BCA1-5AA60B88104C}"/>
            </a:ext>
          </a:extLst>
        </xdr:cNvPr>
        <xdr:cNvCxnSpPr/>
      </xdr:nvCxnSpPr>
      <xdr:spPr>
        <a:xfrm flipH="1">
          <a:off x="3257550" y="2781300"/>
          <a:ext cx="8858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21</xdr:row>
      <xdr:rowOff>95250</xdr:rowOff>
    </xdr:from>
    <xdr:to>
      <xdr:col>22</xdr:col>
      <xdr:colOff>171451</xdr:colOff>
      <xdr:row>21</xdr:row>
      <xdr:rowOff>104775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786F66C3-D1AB-48E9-A42D-BFAEE09080B9}"/>
            </a:ext>
          </a:extLst>
        </xdr:cNvPr>
        <xdr:cNvCxnSpPr/>
      </xdr:nvCxnSpPr>
      <xdr:spPr>
        <a:xfrm flipH="1">
          <a:off x="3095625" y="3143250"/>
          <a:ext cx="1057276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95252</xdr:colOff>
      <xdr:row>6</xdr:row>
      <xdr:rowOff>1</xdr:rowOff>
    </xdr:from>
    <xdr:to>
      <xdr:col>35</xdr:col>
      <xdr:colOff>100015</xdr:colOff>
      <xdr:row>10</xdr:row>
      <xdr:rowOff>52388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E18B3B2-A097-458B-8342-17AE761625C0}"/>
            </a:ext>
          </a:extLst>
        </xdr:cNvPr>
        <xdr:cNvCxnSpPr/>
      </xdr:nvCxnSpPr>
      <xdr:spPr>
        <a:xfrm flipH="1" flipV="1">
          <a:off x="6429377" y="190501"/>
          <a:ext cx="4763" cy="81438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</xdr:colOff>
      <xdr:row>19</xdr:row>
      <xdr:rowOff>114300</xdr:rowOff>
    </xdr:from>
    <xdr:to>
      <xdr:col>30</xdr:col>
      <xdr:colOff>171450</xdr:colOff>
      <xdr:row>19</xdr:row>
      <xdr:rowOff>114300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371A6F1-80BF-445B-BF84-B24CCFAB208B}"/>
            </a:ext>
          </a:extLst>
        </xdr:cNvPr>
        <xdr:cNvCxnSpPr/>
      </xdr:nvCxnSpPr>
      <xdr:spPr>
        <a:xfrm>
          <a:off x="4714875" y="2781300"/>
          <a:ext cx="8858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</xdr:colOff>
      <xdr:row>21</xdr:row>
      <xdr:rowOff>104775</xdr:rowOff>
    </xdr:from>
    <xdr:to>
      <xdr:col>32</xdr:col>
      <xdr:colOff>0</xdr:colOff>
      <xdr:row>21</xdr:row>
      <xdr:rowOff>104775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5E648E7C-A5B9-458E-85D5-AB098ACCC2EA}"/>
            </a:ext>
          </a:extLst>
        </xdr:cNvPr>
        <xdr:cNvCxnSpPr/>
      </xdr:nvCxnSpPr>
      <xdr:spPr>
        <a:xfrm>
          <a:off x="4714875" y="31527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95250</xdr:colOff>
      <xdr:row>7</xdr:row>
      <xdr:rowOff>4763</xdr:rowOff>
    </xdr:from>
    <xdr:to>
      <xdr:col>33</xdr:col>
      <xdr:colOff>95252</xdr:colOff>
      <xdr:row>10</xdr:row>
      <xdr:rowOff>47625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EFE9D0C2-1DB5-41E2-A3FE-114E3294B394}"/>
            </a:ext>
          </a:extLst>
        </xdr:cNvPr>
        <xdr:cNvCxnSpPr/>
      </xdr:nvCxnSpPr>
      <xdr:spPr>
        <a:xfrm flipH="1" flipV="1">
          <a:off x="6067425" y="385763"/>
          <a:ext cx="2" cy="6143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90490</xdr:colOff>
      <xdr:row>14</xdr:row>
      <xdr:rowOff>133350</xdr:rowOff>
    </xdr:from>
    <xdr:to>
      <xdr:col>35</xdr:col>
      <xdr:colOff>95250</xdr:colOff>
      <xdr:row>17</xdr:row>
      <xdr:rowOff>166688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38C96E4F-D85D-4506-A4D0-0D2026D20511}"/>
            </a:ext>
          </a:extLst>
        </xdr:cNvPr>
        <xdr:cNvCxnSpPr/>
      </xdr:nvCxnSpPr>
      <xdr:spPr>
        <a:xfrm flipH="1">
          <a:off x="6424615" y="2714625"/>
          <a:ext cx="4760" cy="8810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95250</xdr:colOff>
      <xdr:row>14</xdr:row>
      <xdr:rowOff>57150</xdr:rowOff>
    </xdr:from>
    <xdr:to>
      <xdr:col>33</xdr:col>
      <xdr:colOff>95251</xdr:colOff>
      <xdr:row>16</xdr:row>
      <xdr:rowOff>180978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66C88DEE-F32A-4F7F-A4B5-1B116E038FE1}"/>
            </a:ext>
          </a:extLst>
        </xdr:cNvPr>
        <xdr:cNvCxnSpPr/>
      </xdr:nvCxnSpPr>
      <xdr:spPr>
        <a:xfrm>
          <a:off x="6067425" y="2638425"/>
          <a:ext cx="1" cy="68580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28574</xdr:colOff>
      <xdr:row>9</xdr:row>
      <xdr:rowOff>114300</xdr:rowOff>
    </xdr:from>
    <xdr:to>
      <xdr:col>24</xdr:col>
      <xdr:colOff>0</xdr:colOff>
      <xdr:row>9</xdr:row>
      <xdr:rowOff>114300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EE76AC9F-86FF-441F-942B-C389A1150FA6}"/>
            </a:ext>
          </a:extLst>
        </xdr:cNvPr>
        <xdr:cNvCxnSpPr/>
      </xdr:nvCxnSpPr>
      <xdr:spPr>
        <a:xfrm>
          <a:off x="4010024" y="876300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95250</xdr:colOff>
      <xdr:row>7</xdr:row>
      <xdr:rowOff>180980</xdr:rowOff>
    </xdr:from>
    <xdr:to>
      <xdr:col>22</xdr:col>
      <xdr:colOff>123826</xdr:colOff>
      <xdr:row>12</xdr:row>
      <xdr:rowOff>9525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F231FE4F-16FE-45E4-9C86-FE2B3082BD9E}"/>
            </a:ext>
          </a:extLst>
        </xdr:cNvPr>
        <xdr:cNvCxnSpPr/>
      </xdr:nvCxnSpPr>
      <xdr:spPr>
        <a:xfrm rot="-120000" flipV="1">
          <a:off x="4076700" y="561980"/>
          <a:ext cx="28576" cy="78104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104775</xdr:colOff>
      <xdr:row>13</xdr:row>
      <xdr:rowOff>19050</xdr:rowOff>
    </xdr:from>
    <xdr:to>
      <xdr:col>22</xdr:col>
      <xdr:colOff>104777</xdr:colOff>
      <xdr:row>16</xdr:row>
      <xdr:rowOff>9525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392FC8F2-8DAE-490C-9185-6EC56A247A65}"/>
            </a:ext>
          </a:extLst>
        </xdr:cNvPr>
        <xdr:cNvCxnSpPr/>
      </xdr:nvCxnSpPr>
      <xdr:spPr>
        <a:xfrm flipH="1">
          <a:off x="4086225" y="1543050"/>
          <a:ext cx="2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28574</xdr:colOff>
      <xdr:row>9</xdr:row>
      <xdr:rowOff>114300</xdr:rowOff>
    </xdr:from>
    <xdr:to>
      <xdr:col>30</xdr:col>
      <xdr:colOff>0</xdr:colOff>
      <xdr:row>9</xdr:row>
      <xdr:rowOff>114300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525D668-563A-4DBA-BC81-081F0EA593F6}"/>
            </a:ext>
          </a:extLst>
        </xdr:cNvPr>
        <xdr:cNvCxnSpPr/>
      </xdr:nvCxnSpPr>
      <xdr:spPr>
        <a:xfrm>
          <a:off x="5095874" y="876300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95250</xdr:colOff>
      <xdr:row>7</xdr:row>
      <xdr:rowOff>180980</xdr:rowOff>
    </xdr:from>
    <xdr:to>
      <xdr:col>28</xdr:col>
      <xdr:colOff>123826</xdr:colOff>
      <xdr:row>12</xdr:row>
      <xdr:rowOff>9525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DBAA38A6-8B70-4A1B-96CD-4FA8DE3D1DEE}"/>
            </a:ext>
          </a:extLst>
        </xdr:cNvPr>
        <xdr:cNvCxnSpPr/>
      </xdr:nvCxnSpPr>
      <xdr:spPr>
        <a:xfrm rot="-120000" flipV="1">
          <a:off x="5162550" y="561980"/>
          <a:ext cx="28576" cy="78104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104775</xdr:colOff>
      <xdr:row>13</xdr:row>
      <xdr:rowOff>19050</xdr:rowOff>
    </xdr:from>
    <xdr:to>
      <xdr:col>28</xdr:col>
      <xdr:colOff>104777</xdr:colOff>
      <xdr:row>16</xdr:row>
      <xdr:rowOff>9525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B03CB744-C94A-4D88-8D53-3BA68998F2DB}"/>
            </a:ext>
          </a:extLst>
        </xdr:cNvPr>
        <xdr:cNvCxnSpPr/>
      </xdr:nvCxnSpPr>
      <xdr:spPr>
        <a:xfrm flipH="1">
          <a:off x="5172075" y="1543050"/>
          <a:ext cx="2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85725</xdr:colOff>
      <xdr:row>6</xdr:row>
      <xdr:rowOff>0</xdr:rowOff>
    </xdr:from>
    <xdr:to>
      <xdr:col>14</xdr:col>
      <xdr:colOff>90488</xdr:colOff>
      <xdr:row>10</xdr:row>
      <xdr:rowOff>52389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A37034AD-2023-4F01-8B7A-CC0BB3E917CD}"/>
            </a:ext>
          </a:extLst>
        </xdr:cNvPr>
        <xdr:cNvCxnSpPr/>
      </xdr:nvCxnSpPr>
      <xdr:spPr>
        <a:xfrm flipH="1" flipV="1">
          <a:off x="2619375" y="190500"/>
          <a:ext cx="4763" cy="81438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76200</xdr:colOff>
      <xdr:row>7</xdr:row>
      <xdr:rowOff>9527</xdr:rowOff>
    </xdr:from>
    <xdr:to>
      <xdr:col>12</xdr:col>
      <xdr:colOff>76200</xdr:colOff>
      <xdr:row>10</xdr:row>
      <xdr:rowOff>47625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1926198C-0E46-4435-A237-596EBD5DBCA9}"/>
            </a:ext>
          </a:extLst>
        </xdr:cNvPr>
        <xdr:cNvCxnSpPr/>
      </xdr:nvCxnSpPr>
      <xdr:spPr>
        <a:xfrm flipV="1">
          <a:off x="2247900" y="390527"/>
          <a:ext cx="0" cy="60959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85725</xdr:colOff>
      <xdr:row>13</xdr:row>
      <xdr:rowOff>104775</xdr:rowOff>
    </xdr:from>
    <xdr:to>
      <xdr:col>14</xdr:col>
      <xdr:colOff>95250</xdr:colOff>
      <xdr:row>17</xdr:row>
      <xdr:rowOff>185738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2D208CF1-8EF5-418D-8332-7698F239D9D2}"/>
            </a:ext>
          </a:extLst>
        </xdr:cNvPr>
        <xdr:cNvCxnSpPr/>
      </xdr:nvCxnSpPr>
      <xdr:spPr>
        <a:xfrm>
          <a:off x="2619375" y="1628775"/>
          <a:ext cx="9525" cy="8429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90488</xdr:colOff>
      <xdr:row>13</xdr:row>
      <xdr:rowOff>95250</xdr:rowOff>
    </xdr:from>
    <xdr:to>
      <xdr:col>12</xdr:col>
      <xdr:colOff>95251</xdr:colOff>
      <xdr:row>16</xdr:row>
      <xdr:rowOff>180978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47F528B0-6DAD-4CF6-8FE5-34052381665A}"/>
            </a:ext>
          </a:extLst>
        </xdr:cNvPr>
        <xdr:cNvCxnSpPr/>
      </xdr:nvCxnSpPr>
      <xdr:spPr>
        <a:xfrm>
          <a:off x="2262188" y="1619250"/>
          <a:ext cx="4763" cy="6572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19</xdr:row>
      <xdr:rowOff>104775</xdr:rowOff>
    </xdr:from>
    <xdr:to>
      <xdr:col>4</xdr:col>
      <xdr:colOff>76201</xdr:colOff>
      <xdr:row>19</xdr:row>
      <xdr:rowOff>104775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FFE5FD99-3176-4FA8-A27B-B52D0BC29529}"/>
            </a:ext>
          </a:extLst>
        </xdr:cNvPr>
        <xdr:cNvCxnSpPr/>
      </xdr:nvCxnSpPr>
      <xdr:spPr>
        <a:xfrm flipH="1">
          <a:off x="352425" y="2771775"/>
          <a:ext cx="4476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19</xdr:row>
      <xdr:rowOff>104775</xdr:rowOff>
    </xdr:from>
    <xdr:to>
      <xdr:col>10</xdr:col>
      <xdr:colOff>0</xdr:colOff>
      <xdr:row>19</xdr:row>
      <xdr:rowOff>104775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ECBC01E8-A2C3-4FEA-A156-548B75F1EC2C}"/>
            </a:ext>
          </a:extLst>
        </xdr:cNvPr>
        <xdr:cNvCxnSpPr/>
      </xdr:nvCxnSpPr>
      <xdr:spPr>
        <a:xfrm>
          <a:off x="1371600" y="2771775"/>
          <a:ext cx="4381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104775</xdr:rowOff>
    </xdr:from>
    <xdr:to>
      <xdr:col>4</xdr:col>
      <xdr:colOff>66676</xdr:colOff>
      <xdr:row>21</xdr:row>
      <xdr:rowOff>104775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7C937EA8-DCF3-4540-A508-3AA895820C4E}"/>
            </a:ext>
          </a:extLst>
        </xdr:cNvPr>
        <xdr:cNvCxnSpPr/>
      </xdr:nvCxnSpPr>
      <xdr:spPr>
        <a:xfrm flipH="1">
          <a:off x="180975" y="3152775"/>
          <a:ext cx="60960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95250</xdr:colOff>
      <xdr:row>21</xdr:row>
      <xdr:rowOff>104775</xdr:rowOff>
    </xdr:from>
    <xdr:to>
      <xdr:col>10</xdr:col>
      <xdr:colOff>161925</xdr:colOff>
      <xdr:row>21</xdr:row>
      <xdr:rowOff>104776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96D1C839-1469-43A2-9163-1CE75A2843A4}"/>
            </a:ext>
          </a:extLst>
        </xdr:cNvPr>
        <xdr:cNvCxnSpPr/>
      </xdr:nvCxnSpPr>
      <xdr:spPr>
        <a:xfrm flipV="1">
          <a:off x="1362075" y="3152775"/>
          <a:ext cx="609600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90489</xdr:colOff>
      <xdr:row>9</xdr:row>
      <xdr:rowOff>119064</xdr:rowOff>
    </xdr:from>
    <xdr:to>
      <xdr:col>8</xdr:col>
      <xdr:colOff>166689</xdr:colOff>
      <xdr:row>9</xdr:row>
      <xdr:rowOff>119065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75807CD-635D-4776-82DA-4B5DF8712779}"/>
            </a:ext>
          </a:extLst>
        </xdr:cNvPr>
        <xdr:cNvCxnSpPr/>
      </xdr:nvCxnSpPr>
      <xdr:spPr>
        <a:xfrm flipV="1">
          <a:off x="1176339" y="881064"/>
          <a:ext cx="438150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8</xdr:row>
      <xdr:rowOff>5</xdr:rowOff>
    </xdr:from>
    <xdr:to>
      <xdr:col>7</xdr:col>
      <xdr:colOff>133351</xdr:colOff>
      <xdr:row>12</xdr:row>
      <xdr:rowOff>19050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395B9FD2-D053-493A-9C36-6EC5D7FA7678}"/>
            </a:ext>
          </a:extLst>
        </xdr:cNvPr>
        <xdr:cNvCxnSpPr/>
      </xdr:nvCxnSpPr>
      <xdr:spPr>
        <a:xfrm rot="-120000" flipV="1">
          <a:off x="1371600" y="571505"/>
          <a:ext cx="28576" cy="78104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13</xdr:row>
      <xdr:rowOff>14286</xdr:rowOff>
    </xdr:from>
    <xdr:to>
      <xdr:col>7</xdr:col>
      <xdr:colOff>114302</xdr:colOff>
      <xdr:row>16</xdr:row>
      <xdr:rowOff>4761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95D80F78-F143-4940-A562-D2AE6C95290D}"/>
            </a:ext>
          </a:extLst>
        </xdr:cNvPr>
        <xdr:cNvCxnSpPr/>
      </xdr:nvCxnSpPr>
      <xdr:spPr>
        <a:xfrm flipH="1">
          <a:off x="1381125" y="1538286"/>
          <a:ext cx="2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42</xdr:row>
      <xdr:rowOff>114300</xdr:rowOff>
    </xdr:from>
    <xdr:to>
      <xdr:col>22</xdr:col>
      <xdr:colOff>161925</xdr:colOff>
      <xdr:row>42</xdr:row>
      <xdr:rowOff>114300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E2C27F17-5E58-4E35-9180-BF5419F34434}"/>
            </a:ext>
          </a:extLst>
        </xdr:cNvPr>
        <xdr:cNvCxnSpPr/>
      </xdr:nvCxnSpPr>
      <xdr:spPr>
        <a:xfrm flipH="1">
          <a:off x="3257550" y="7162800"/>
          <a:ext cx="8858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152401</xdr:colOff>
      <xdr:row>44</xdr:row>
      <xdr:rowOff>95250</xdr:rowOff>
    </xdr:from>
    <xdr:to>
      <xdr:col>22</xdr:col>
      <xdr:colOff>171450</xdr:colOff>
      <xdr:row>44</xdr:row>
      <xdr:rowOff>104775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414FBDA5-A999-4553-875D-1B12D5ACA01A}"/>
            </a:ext>
          </a:extLst>
        </xdr:cNvPr>
        <xdr:cNvCxnSpPr/>
      </xdr:nvCxnSpPr>
      <xdr:spPr>
        <a:xfrm flipH="1">
          <a:off x="3048001" y="7524750"/>
          <a:ext cx="110489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</xdr:colOff>
      <xdr:row>42</xdr:row>
      <xdr:rowOff>114300</xdr:rowOff>
    </xdr:from>
    <xdr:to>
      <xdr:col>30</xdr:col>
      <xdr:colOff>171450</xdr:colOff>
      <xdr:row>42</xdr:row>
      <xdr:rowOff>114300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90A1A4D5-C1DA-4541-B036-218EA22FF578}"/>
            </a:ext>
          </a:extLst>
        </xdr:cNvPr>
        <xdr:cNvCxnSpPr/>
      </xdr:nvCxnSpPr>
      <xdr:spPr>
        <a:xfrm>
          <a:off x="4714875" y="7162800"/>
          <a:ext cx="8858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</xdr:colOff>
      <xdr:row>44</xdr:row>
      <xdr:rowOff>104775</xdr:rowOff>
    </xdr:from>
    <xdr:to>
      <xdr:col>32</xdr:col>
      <xdr:colOff>0</xdr:colOff>
      <xdr:row>44</xdr:row>
      <xdr:rowOff>104775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A596EA82-FEDA-48A0-9ED5-D3D3915A14BD}"/>
            </a:ext>
          </a:extLst>
        </xdr:cNvPr>
        <xdr:cNvCxnSpPr/>
      </xdr:nvCxnSpPr>
      <xdr:spPr>
        <a:xfrm>
          <a:off x="4714875" y="75342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42</xdr:row>
      <xdr:rowOff>104775</xdr:rowOff>
    </xdr:from>
    <xdr:to>
      <xdr:col>4</xdr:col>
      <xdr:colOff>76201</xdr:colOff>
      <xdr:row>42</xdr:row>
      <xdr:rowOff>104775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B36D008A-4A90-492C-8998-21717B8EDE64}"/>
            </a:ext>
          </a:extLst>
        </xdr:cNvPr>
        <xdr:cNvCxnSpPr/>
      </xdr:nvCxnSpPr>
      <xdr:spPr>
        <a:xfrm flipH="1">
          <a:off x="352425" y="7153275"/>
          <a:ext cx="4476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42</xdr:row>
      <xdr:rowOff>104775</xdr:rowOff>
    </xdr:from>
    <xdr:to>
      <xdr:col>10</xdr:col>
      <xdr:colOff>0</xdr:colOff>
      <xdr:row>42</xdr:row>
      <xdr:rowOff>104775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38A2CBFC-6A55-4759-B88B-715818558230}"/>
            </a:ext>
          </a:extLst>
        </xdr:cNvPr>
        <xdr:cNvCxnSpPr/>
      </xdr:nvCxnSpPr>
      <xdr:spPr>
        <a:xfrm>
          <a:off x="1371600" y="7153275"/>
          <a:ext cx="4381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44</xdr:row>
      <xdr:rowOff>104775</xdr:rowOff>
    </xdr:from>
    <xdr:to>
      <xdr:col>4</xdr:col>
      <xdr:colOff>66676</xdr:colOff>
      <xdr:row>44</xdr:row>
      <xdr:rowOff>104775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60E6D7DE-AB79-4131-8AF9-CF910451D179}"/>
            </a:ext>
          </a:extLst>
        </xdr:cNvPr>
        <xdr:cNvCxnSpPr/>
      </xdr:nvCxnSpPr>
      <xdr:spPr>
        <a:xfrm flipH="1">
          <a:off x="180975" y="7534275"/>
          <a:ext cx="60960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95250</xdr:colOff>
      <xdr:row>44</xdr:row>
      <xdr:rowOff>104775</xdr:rowOff>
    </xdr:from>
    <xdr:to>
      <xdr:col>10</xdr:col>
      <xdr:colOff>161925</xdr:colOff>
      <xdr:row>44</xdr:row>
      <xdr:rowOff>104776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115C552-35DD-4D76-9DDA-BF5C9B806A47}"/>
            </a:ext>
          </a:extLst>
        </xdr:cNvPr>
        <xdr:cNvCxnSpPr/>
      </xdr:nvCxnSpPr>
      <xdr:spPr>
        <a:xfrm flipV="1">
          <a:off x="1362075" y="7534275"/>
          <a:ext cx="609600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85726</xdr:colOff>
      <xdr:row>24</xdr:row>
      <xdr:rowOff>9526</xdr:rowOff>
    </xdr:from>
    <xdr:to>
      <xdr:col>35</xdr:col>
      <xdr:colOff>90488</xdr:colOff>
      <xdr:row>30</xdr:row>
      <xdr:rowOff>147638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A3FC898B-3F9F-4B6F-A5A8-B741C20B145E}"/>
            </a:ext>
          </a:extLst>
        </xdr:cNvPr>
        <xdr:cNvCxnSpPr/>
      </xdr:nvCxnSpPr>
      <xdr:spPr>
        <a:xfrm flipH="1" flipV="1">
          <a:off x="6419851" y="3629026"/>
          <a:ext cx="4762" cy="128111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95250</xdr:colOff>
      <xdr:row>25</xdr:row>
      <xdr:rowOff>9525</xdr:rowOff>
    </xdr:from>
    <xdr:to>
      <xdr:col>33</xdr:col>
      <xdr:colOff>95250</xdr:colOff>
      <xdr:row>30</xdr:row>
      <xdr:rowOff>152400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C79303FB-5DAD-4DF6-8843-BDF8B24EB10D}"/>
            </a:ext>
          </a:extLst>
        </xdr:cNvPr>
        <xdr:cNvCxnSpPr/>
      </xdr:nvCxnSpPr>
      <xdr:spPr>
        <a:xfrm flipV="1">
          <a:off x="6067425" y="3819525"/>
          <a:ext cx="0" cy="10953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71438</xdr:colOff>
      <xdr:row>33</xdr:row>
      <xdr:rowOff>185738</xdr:rowOff>
    </xdr:from>
    <xdr:to>
      <xdr:col>35</xdr:col>
      <xdr:colOff>76200</xdr:colOff>
      <xdr:row>41</xdr:row>
      <xdr:rowOff>9525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BE4E8357-38A1-41B7-AC23-F4BAF766D6D3}"/>
            </a:ext>
          </a:extLst>
        </xdr:cNvPr>
        <xdr:cNvCxnSpPr/>
      </xdr:nvCxnSpPr>
      <xdr:spPr>
        <a:xfrm>
          <a:off x="6405563" y="5519738"/>
          <a:ext cx="4762" cy="134778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95250</xdr:colOff>
      <xdr:row>34</xdr:row>
      <xdr:rowOff>0</xdr:rowOff>
    </xdr:from>
    <xdr:to>
      <xdr:col>33</xdr:col>
      <xdr:colOff>95252</xdr:colOff>
      <xdr:row>39</xdr:row>
      <xdr:rowOff>171450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C314CD89-A059-491C-971E-409541E95298}"/>
            </a:ext>
          </a:extLst>
        </xdr:cNvPr>
        <xdr:cNvCxnSpPr/>
      </xdr:nvCxnSpPr>
      <xdr:spPr>
        <a:xfrm flipH="1">
          <a:off x="6067425" y="5524500"/>
          <a:ext cx="2" cy="11239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27</xdr:row>
      <xdr:rowOff>95251</xdr:rowOff>
    </xdr:from>
    <xdr:to>
      <xdr:col>8</xdr:col>
      <xdr:colOff>161923</xdr:colOff>
      <xdr:row>27</xdr:row>
      <xdr:rowOff>100013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68B6BE84-0210-4778-9E6A-20BBC7D131C9}"/>
            </a:ext>
          </a:extLst>
        </xdr:cNvPr>
        <xdr:cNvCxnSpPr/>
      </xdr:nvCxnSpPr>
      <xdr:spPr>
        <a:xfrm flipV="1">
          <a:off x="1162050" y="4286251"/>
          <a:ext cx="447673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66675</xdr:colOff>
      <xdr:row>34</xdr:row>
      <xdr:rowOff>109540</xdr:rowOff>
    </xdr:from>
    <xdr:to>
      <xdr:col>8</xdr:col>
      <xdr:colOff>161923</xdr:colOff>
      <xdr:row>34</xdr:row>
      <xdr:rowOff>114300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490E5EE8-7E05-4341-AC5F-631685E2D3AF}"/>
            </a:ext>
          </a:extLst>
        </xdr:cNvPr>
        <xdr:cNvCxnSpPr/>
      </xdr:nvCxnSpPr>
      <xdr:spPr>
        <a:xfrm flipV="1">
          <a:off x="1152525" y="5634040"/>
          <a:ext cx="457198" cy="47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38097</xdr:colOff>
      <xdr:row>27</xdr:row>
      <xdr:rowOff>109538</xdr:rowOff>
    </xdr:from>
    <xdr:to>
      <xdr:col>24</xdr:col>
      <xdr:colOff>9523</xdr:colOff>
      <xdr:row>27</xdr:row>
      <xdr:rowOff>109538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473C76A4-F408-4B5C-8953-2A527BFF1023}"/>
            </a:ext>
          </a:extLst>
        </xdr:cNvPr>
        <xdr:cNvCxnSpPr/>
      </xdr:nvCxnSpPr>
      <xdr:spPr>
        <a:xfrm>
          <a:off x="4019547" y="4300538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38097</xdr:colOff>
      <xdr:row>27</xdr:row>
      <xdr:rowOff>104775</xdr:rowOff>
    </xdr:from>
    <xdr:to>
      <xdr:col>30</xdr:col>
      <xdr:colOff>9523</xdr:colOff>
      <xdr:row>27</xdr:row>
      <xdr:rowOff>104775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355C945-8E8F-447D-A0A7-60FB3909E2EF}"/>
            </a:ext>
          </a:extLst>
        </xdr:cNvPr>
        <xdr:cNvCxnSpPr/>
      </xdr:nvCxnSpPr>
      <xdr:spPr>
        <a:xfrm>
          <a:off x="5105397" y="4295775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38097</xdr:colOff>
      <xdr:row>34</xdr:row>
      <xdr:rowOff>114301</xdr:rowOff>
    </xdr:from>
    <xdr:to>
      <xdr:col>24</xdr:col>
      <xdr:colOff>9523</xdr:colOff>
      <xdr:row>34</xdr:row>
      <xdr:rowOff>114301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6198C263-BC78-4E5E-B9ED-72ED7D9EEFB1}"/>
            </a:ext>
          </a:extLst>
        </xdr:cNvPr>
        <xdr:cNvCxnSpPr/>
      </xdr:nvCxnSpPr>
      <xdr:spPr>
        <a:xfrm>
          <a:off x="4019547" y="5638801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38097</xdr:colOff>
      <xdr:row>34</xdr:row>
      <xdr:rowOff>114301</xdr:rowOff>
    </xdr:from>
    <xdr:to>
      <xdr:col>30</xdr:col>
      <xdr:colOff>9523</xdr:colOff>
      <xdr:row>34</xdr:row>
      <xdr:rowOff>114301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B408F381-7DFA-4396-8B96-B69457E94722}"/>
            </a:ext>
          </a:extLst>
        </xdr:cNvPr>
        <xdr:cNvCxnSpPr/>
      </xdr:nvCxnSpPr>
      <xdr:spPr>
        <a:xfrm>
          <a:off x="5105397" y="5638801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25</xdr:row>
      <xdr:rowOff>171452</xdr:rowOff>
    </xdr:from>
    <xdr:to>
      <xdr:col>7</xdr:col>
      <xdr:colOff>114300</xdr:colOff>
      <xdr:row>28</xdr:row>
      <xdr:rowOff>161925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91D7F578-3B1E-4B3C-A8DC-C8774795B4BA}"/>
            </a:ext>
          </a:extLst>
        </xdr:cNvPr>
        <xdr:cNvCxnSpPr/>
      </xdr:nvCxnSpPr>
      <xdr:spPr>
        <a:xfrm flipV="1">
          <a:off x="1381125" y="3981452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29</xdr:row>
      <xdr:rowOff>190495</xdr:rowOff>
    </xdr:from>
    <xdr:to>
      <xdr:col>7</xdr:col>
      <xdr:colOff>114302</xdr:colOff>
      <xdr:row>32</xdr:row>
      <xdr:rowOff>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287EE4E5-FFF9-4FCA-8AE4-0B6121037948}"/>
            </a:ext>
          </a:extLst>
        </xdr:cNvPr>
        <xdr:cNvCxnSpPr/>
      </xdr:nvCxnSpPr>
      <xdr:spPr>
        <a:xfrm flipH="1">
          <a:off x="1381125" y="4762495"/>
          <a:ext cx="2" cy="381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32</xdr:row>
      <xdr:rowOff>180975</xdr:rowOff>
    </xdr:from>
    <xdr:to>
      <xdr:col>7</xdr:col>
      <xdr:colOff>123825</xdr:colOff>
      <xdr:row>35</xdr:row>
      <xdr:rowOff>171448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7854B084-38A5-4944-B68A-8B4DC7C3574D}"/>
            </a:ext>
          </a:extLst>
        </xdr:cNvPr>
        <xdr:cNvCxnSpPr/>
      </xdr:nvCxnSpPr>
      <xdr:spPr>
        <a:xfrm flipV="1">
          <a:off x="1390650" y="5324475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37</xdr:row>
      <xdr:rowOff>9518</xdr:rowOff>
    </xdr:from>
    <xdr:to>
      <xdr:col>7</xdr:col>
      <xdr:colOff>123827</xdr:colOff>
      <xdr:row>39</xdr:row>
      <xdr:rowOff>9523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1164201-3F32-4CB2-8E2F-1E4F7A2EF6BF}"/>
            </a:ext>
          </a:extLst>
        </xdr:cNvPr>
        <xdr:cNvCxnSpPr/>
      </xdr:nvCxnSpPr>
      <xdr:spPr>
        <a:xfrm flipH="1">
          <a:off x="1390650" y="6105518"/>
          <a:ext cx="2" cy="381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133350</xdr:colOff>
      <xdr:row>32</xdr:row>
      <xdr:rowOff>171450</xdr:rowOff>
    </xdr:from>
    <xdr:to>
      <xdr:col>22</xdr:col>
      <xdr:colOff>133350</xdr:colOff>
      <xdr:row>35</xdr:row>
      <xdr:rowOff>161923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F6053E9D-9EEE-4FDE-8ADB-883128A28A76}"/>
            </a:ext>
          </a:extLst>
        </xdr:cNvPr>
        <xdr:cNvCxnSpPr/>
      </xdr:nvCxnSpPr>
      <xdr:spPr>
        <a:xfrm flipV="1">
          <a:off x="4114800" y="531495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133350</xdr:colOff>
      <xdr:row>36</xdr:row>
      <xdr:rowOff>190493</xdr:rowOff>
    </xdr:from>
    <xdr:to>
      <xdr:col>22</xdr:col>
      <xdr:colOff>133352</xdr:colOff>
      <xdr:row>38</xdr:row>
      <xdr:rowOff>190498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ACF560E0-6103-4B9D-BDB1-23536E7B085E}"/>
            </a:ext>
          </a:extLst>
        </xdr:cNvPr>
        <xdr:cNvCxnSpPr/>
      </xdr:nvCxnSpPr>
      <xdr:spPr>
        <a:xfrm flipH="1">
          <a:off x="4114800" y="6095993"/>
          <a:ext cx="2" cy="381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133350</xdr:colOff>
      <xdr:row>26</xdr:row>
      <xdr:rowOff>0</xdr:rowOff>
    </xdr:from>
    <xdr:to>
      <xdr:col>22</xdr:col>
      <xdr:colOff>133350</xdr:colOff>
      <xdr:row>28</xdr:row>
      <xdr:rowOff>180973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11340459-CDCE-4A3F-AB63-35963BC03088}"/>
            </a:ext>
          </a:extLst>
        </xdr:cNvPr>
        <xdr:cNvCxnSpPr/>
      </xdr:nvCxnSpPr>
      <xdr:spPr>
        <a:xfrm flipV="1">
          <a:off x="4114800" y="4000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133350</xdr:colOff>
      <xdr:row>30</xdr:row>
      <xdr:rowOff>19043</xdr:rowOff>
    </xdr:from>
    <xdr:to>
      <xdr:col>22</xdr:col>
      <xdr:colOff>133352</xdr:colOff>
      <xdr:row>32</xdr:row>
      <xdr:rowOff>19048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D8FB7568-C78E-4426-A11D-A43378F7012F}"/>
            </a:ext>
          </a:extLst>
        </xdr:cNvPr>
        <xdr:cNvCxnSpPr/>
      </xdr:nvCxnSpPr>
      <xdr:spPr>
        <a:xfrm flipH="1">
          <a:off x="4114800" y="4781543"/>
          <a:ext cx="2" cy="381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123825</xdr:colOff>
      <xdr:row>26</xdr:row>
      <xdr:rowOff>0</xdr:rowOff>
    </xdr:from>
    <xdr:to>
      <xdr:col>28</xdr:col>
      <xdr:colOff>123825</xdr:colOff>
      <xdr:row>28</xdr:row>
      <xdr:rowOff>180973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C7443ACC-3C68-49C0-9EAA-7CE8A8DA492F}"/>
            </a:ext>
          </a:extLst>
        </xdr:cNvPr>
        <xdr:cNvCxnSpPr/>
      </xdr:nvCxnSpPr>
      <xdr:spPr>
        <a:xfrm flipV="1">
          <a:off x="5191125" y="4000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123825</xdr:colOff>
      <xdr:row>30</xdr:row>
      <xdr:rowOff>19043</xdr:rowOff>
    </xdr:from>
    <xdr:to>
      <xdr:col>28</xdr:col>
      <xdr:colOff>123827</xdr:colOff>
      <xdr:row>32</xdr:row>
      <xdr:rowOff>19048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B4284F36-04EA-42DA-AC52-2AAD0F9AF31B}"/>
            </a:ext>
          </a:extLst>
        </xdr:cNvPr>
        <xdr:cNvCxnSpPr/>
      </xdr:nvCxnSpPr>
      <xdr:spPr>
        <a:xfrm flipH="1">
          <a:off x="5191125" y="4781543"/>
          <a:ext cx="2" cy="381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123825</xdr:colOff>
      <xdr:row>33</xdr:row>
      <xdr:rowOff>0</xdr:rowOff>
    </xdr:from>
    <xdr:to>
      <xdr:col>28</xdr:col>
      <xdr:colOff>123825</xdr:colOff>
      <xdr:row>35</xdr:row>
      <xdr:rowOff>180973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E8B9A754-EF71-4486-B258-297BAE8E0826}"/>
            </a:ext>
          </a:extLst>
        </xdr:cNvPr>
        <xdr:cNvCxnSpPr/>
      </xdr:nvCxnSpPr>
      <xdr:spPr>
        <a:xfrm flipV="1">
          <a:off x="5191125" y="53340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123825</xdr:colOff>
      <xdr:row>37</xdr:row>
      <xdr:rowOff>19043</xdr:rowOff>
    </xdr:from>
    <xdr:to>
      <xdr:col>28</xdr:col>
      <xdr:colOff>123827</xdr:colOff>
      <xdr:row>39</xdr:row>
      <xdr:rowOff>19048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FEB87C0F-D526-485C-83E7-33B2D28A90A0}"/>
            </a:ext>
          </a:extLst>
        </xdr:cNvPr>
        <xdr:cNvCxnSpPr/>
      </xdr:nvCxnSpPr>
      <xdr:spPr>
        <a:xfrm flipH="1">
          <a:off x="5191125" y="6115043"/>
          <a:ext cx="2" cy="3810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85725</xdr:colOff>
      <xdr:row>24</xdr:row>
      <xdr:rowOff>0</xdr:rowOff>
    </xdr:from>
    <xdr:to>
      <xdr:col>14</xdr:col>
      <xdr:colOff>95250</xdr:colOff>
      <xdr:row>30</xdr:row>
      <xdr:rowOff>85725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3380F8AC-E087-42D3-AD7F-46E9E3F5EF56}"/>
            </a:ext>
          </a:extLst>
        </xdr:cNvPr>
        <xdr:cNvCxnSpPr/>
      </xdr:nvCxnSpPr>
      <xdr:spPr>
        <a:xfrm flipH="1" flipV="1">
          <a:off x="2619375" y="3619500"/>
          <a:ext cx="9525" cy="12287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25</xdr:row>
      <xdr:rowOff>0</xdr:rowOff>
    </xdr:from>
    <xdr:to>
      <xdr:col>12</xdr:col>
      <xdr:colOff>95250</xdr:colOff>
      <xdr:row>30</xdr:row>
      <xdr:rowOff>142875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B623B506-E6A7-4720-9780-31EFD85F9A24}"/>
            </a:ext>
          </a:extLst>
        </xdr:cNvPr>
        <xdr:cNvCxnSpPr/>
      </xdr:nvCxnSpPr>
      <xdr:spPr>
        <a:xfrm flipV="1">
          <a:off x="2266950" y="3810000"/>
          <a:ext cx="0" cy="10953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76200</xdr:colOff>
      <xdr:row>34</xdr:row>
      <xdr:rowOff>47625</xdr:rowOff>
    </xdr:from>
    <xdr:to>
      <xdr:col>14</xdr:col>
      <xdr:colOff>76200</xdr:colOff>
      <xdr:row>41</xdr:row>
      <xdr:rowOff>0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5609316E-F72A-438B-81F2-0B56007CEE7D}"/>
            </a:ext>
          </a:extLst>
        </xdr:cNvPr>
        <xdr:cNvCxnSpPr/>
      </xdr:nvCxnSpPr>
      <xdr:spPr>
        <a:xfrm>
          <a:off x="2609850" y="5572125"/>
          <a:ext cx="0" cy="12858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33</xdr:row>
      <xdr:rowOff>180975</xdr:rowOff>
    </xdr:from>
    <xdr:to>
      <xdr:col>12</xdr:col>
      <xdr:colOff>95252</xdr:colOff>
      <xdr:row>39</xdr:row>
      <xdr:rowOff>161925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C713DD89-908A-4B64-B970-C7A602AA6263}"/>
            </a:ext>
          </a:extLst>
        </xdr:cNvPr>
        <xdr:cNvCxnSpPr/>
      </xdr:nvCxnSpPr>
      <xdr:spPr>
        <a:xfrm flipH="1">
          <a:off x="2266950" y="5514975"/>
          <a:ext cx="2" cy="11239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95250</xdr:colOff>
      <xdr:row>16</xdr:row>
      <xdr:rowOff>0</xdr:rowOff>
    </xdr:from>
    <xdr:to>
      <xdr:col>72</xdr:col>
      <xdr:colOff>95251</xdr:colOff>
      <xdr:row>24</xdr:row>
      <xdr:rowOff>142875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3AA3A8F1-8335-4A4F-B0CC-0AC84C7B5827}"/>
            </a:ext>
          </a:extLst>
        </xdr:cNvPr>
        <xdr:cNvCxnSpPr/>
      </xdr:nvCxnSpPr>
      <xdr:spPr>
        <a:xfrm flipV="1">
          <a:off x="12944475" y="2857500"/>
          <a:ext cx="1" cy="16668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85725</xdr:colOff>
      <xdr:row>16</xdr:row>
      <xdr:rowOff>171450</xdr:rowOff>
    </xdr:from>
    <xdr:to>
      <xdr:col>70</xdr:col>
      <xdr:colOff>95250</xdr:colOff>
      <xdr:row>24</xdr:row>
      <xdr:rowOff>161924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596F7E87-34FF-4BD9-A0E0-5875F359369F}"/>
            </a:ext>
          </a:extLst>
        </xdr:cNvPr>
        <xdr:cNvCxnSpPr/>
      </xdr:nvCxnSpPr>
      <xdr:spPr>
        <a:xfrm flipH="1" flipV="1">
          <a:off x="12573000" y="3028950"/>
          <a:ext cx="9525" cy="151447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95250</xdr:colOff>
      <xdr:row>28</xdr:row>
      <xdr:rowOff>14288</xdr:rowOff>
    </xdr:from>
    <xdr:to>
      <xdr:col>72</xdr:col>
      <xdr:colOff>100013</xdr:colOff>
      <xdr:row>36</xdr:row>
      <xdr:rowOff>185738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EBFF037D-20A4-406D-928F-28EC0B6D7BA5}"/>
            </a:ext>
          </a:extLst>
        </xdr:cNvPr>
        <xdr:cNvCxnSpPr/>
      </xdr:nvCxnSpPr>
      <xdr:spPr>
        <a:xfrm>
          <a:off x="12944475" y="5157788"/>
          <a:ext cx="4763" cy="1695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104775</xdr:colOff>
      <xdr:row>28</xdr:row>
      <xdr:rowOff>28574</xdr:rowOff>
    </xdr:from>
    <xdr:to>
      <xdr:col>70</xdr:col>
      <xdr:colOff>104776</xdr:colOff>
      <xdr:row>35</xdr:row>
      <xdr:rowOff>171450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7C73F15C-1139-4D28-A248-4A095FA05B38}"/>
            </a:ext>
          </a:extLst>
        </xdr:cNvPr>
        <xdr:cNvCxnSpPr/>
      </xdr:nvCxnSpPr>
      <xdr:spPr>
        <a:xfrm flipH="1">
          <a:off x="12592050" y="5172074"/>
          <a:ext cx="1" cy="147637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76201</xdr:colOff>
      <xdr:row>15</xdr:row>
      <xdr:rowOff>180976</xdr:rowOff>
    </xdr:from>
    <xdr:to>
      <xdr:col>51</xdr:col>
      <xdr:colOff>85725</xdr:colOff>
      <xdr:row>24</xdr:row>
      <xdr:rowOff>176213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3F159A38-7968-4634-816A-B8A918836EAB}"/>
            </a:ext>
          </a:extLst>
        </xdr:cNvPr>
        <xdr:cNvCxnSpPr/>
      </xdr:nvCxnSpPr>
      <xdr:spPr>
        <a:xfrm flipH="1" flipV="1">
          <a:off x="9124951" y="2847976"/>
          <a:ext cx="9524" cy="170973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85725</xdr:colOff>
      <xdr:row>17</xdr:row>
      <xdr:rowOff>4763</xdr:rowOff>
    </xdr:from>
    <xdr:to>
      <xdr:col>49</xdr:col>
      <xdr:colOff>85726</xdr:colOff>
      <xdr:row>24</xdr:row>
      <xdr:rowOff>171450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E8E82BC2-D612-482A-9F35-4C68DC50BDF0}"/>
            </a:ext>
          </a:extLst>
        </xdr:cNvPr>
        <xdr:cNvCxnSpPr/>
      </xdr:nvCxnSpPr>
      <xdr:spPr>
        <a:xfrm flipH="1" flipV="1">
          <a:off x="8772525" y="3052763"/>
          <a:ext cx="1" cy="150018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85725</xdr:colOff>
      <xdr:row>28</xdr:row>
      <xdr:rowOff>28575</xdr:rowOff>
    </xdr:from>
    <xdr:to>
      <xdr:col>51</xdr:col>
      <xdr:colOff>90488</xdr:colOff>
      <xdr:row>37</xdr:row>
      <xdr:rowOff>9525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6421819F-551F-46D3-B22D-2D33CD0A215A}"/>
            </a:ext>
          </a:extLst>
        </xdr:cNvPr>
        <xdr:cNvCxnSpPr/>
      </xdr:nvCxnSpPr>
      <xdr:spPr>
        <a:xfrm flipH="1">
          <a:off x="9134475" y="5172075"/>
          <a:ext cx="4763" cy="1695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85726</xdr:colOff>
      <xdr:row>28</xdr:row>
      <xdr:rowOff>28574</xdr:rowOff>
    </xdr:from>
    <xdr:to>
      <xdr:col>49</xdr:col>
      <xdr:colOff>95250</xdr:colOff>
      <xdr:row>35</xdr:row>
      <xdr:rowOff>180975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6DA1DC9E-1AA4-4A80-A831-D4668532E5E1}"/>
            </a:ext>
          </a:extLst>
        </xdr:cNvPr>
        <xdr:cNvCxnSpPr/>
      </xdr:nvCxnSpPr>
      <xdr:spPr>
        <a:xfrm>
          <a:off x="8772526" y="5172074"/>
          <a:ext cx="9524" cy="148590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171450</xdr:colOff>
      <xdr:row>38</xdr:row>
      <xdr:rowOff>104775</xdr:rowOff>
    </xdr:from>
    <xdr:to>
      <xdr:col>42</xdr:col>
      <xdr:colOff>0</xdr:colOff>
      <xdr:row>38</xdr:row>
      <xdr:rowOff>104775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FB32BE94-0151-4971-8F85-7A70235F501B}"/>
            </a:ext>
          </a:extLst>
        </xdr:cNvPr>
        <xdr:cNvCxnSpPr/>
      </xdr:nvCxnSpPr>
      <xdr:spPr>
        <a:xfrm flipH="1">
          <a:off x="7048500" y="7153275"/>
          <a:ext cx="371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104775</xdr:colOff>
      <xdr:row>38</xdr:row>
      <xdr:rowOff>104775</xdr:rowOff>
    </xdr:from>
    <xdr:to>
      <xdr:col>47</xdr:col>
      <xdr:colOff>0</xdr:colOff>
      <xdr:row>38</xdr:row>
      <xdr:rowOff>104775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33AC5CDC-0F99-4156-9B4E-1836F0F9476F}"/>
            </a:ext>
          </a:extLst>
        </xdr:cNvPr>
        <xdr:cNvCxnSpPr/>
      </xdr:nvCxnSpPr>
      <xdr:spPr>
        <a:xfrm>
          <a:off x="7886700" y="7153275"/>
          <a:ext cx="4381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40</xdr:row>
      <xdr:rowOff>104775</xdr:rowOff>
    </xdr:from>
    <xdr:to>
      <xdr:col>42</xdr:col>
      <xdr:colOff>0</xdr:colOff>
      <xdr:row>40</xdr:row>
      <xdr:rowOff>104775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28F5FF29-7191-4E2C-9E24-8948D9940261}"/>
            </a:ext>
          </a:extLst>
        </xdr:cNvPr>
        <xdr:cNvCxnSpPr/>
      </xdr:nvCxnSpPr>
      <xdr:spPr>
        <a:xfrm flipH="1">
          <a:off x="6877050" y="7534275"/>
          <a:ext cx="542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95250</xdr:colOff>
      <xdr:row>40</xdr:row>
      <xdr:rowOff>104775</xdr:rowOff>
    </xdr:from>
    <xdr:to>
      <xdr:col>47</xdr:col>
      <xdr:colOff>161925</xdr:colOff>
      <xdr:row>40</xdr:row>
      <xdr:rowOff>104776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075F8EE5-7089-4524-B438-BFC67AC85D9F}"/>
            </a:ext>
          </a:extLst>
        </xdr:cNvPr>
        <xdr:cNvCxnSpPr/>
      </xdr:nvCxnSpPr>
      <xdr:spPr>
        <a:xfrm flipV="1">
          <a:off x="7877175" y="7534275"/>
          <a:ext cx="609600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28575</xdr:colOff>
      <xdr:row>19</xdr:row>
      <xdr:rowOff>114300</xdr:rowOff>
    </xdr:from>
    <xdr:to>
      <xdr:col>45</xdr:col>
      <xdr:colOff>152400</xdr:colOff>
      <xdr:row>19</xdr:row>
      <xdr:rowOff>114301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71EBE822-4785-4393-95C2-AC0EA3C83731}"/>
            </a:ext>
          </a:extLst>
        </xdr:cNvPr>
        <xdr:cNvCxnSpPr/>
      </xdr:nvCxnSpPr>
      <xdr:spPr>
        <a:xfrm>
          <a:off x="7810500" y="3543300"/>
          <a:ext cx="304800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33338</xdr:colOff>
      <xdr:row>25</xdr:row>
      <xdr:rowOff>114300</xdr:rowOff>
    </xdr:from>
    <xdr:to>
      <xdr:col>45</xdr:col>
      <xdr:colOff>161923</xdr:colOff>
      <xdr:row>25</xdr:row>
      <xdr:rowOff>114301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DD6F4CE8-EA45-4AB5-AB83-D1D993F97707}"/>
            </a:ext>
          </a:extLst>
        </xdr:cNvPr>
        <xdr:cNvCxnSpPr/>
      </xdr:nvCxnSpPr>
      <xdr:spPr>
        <a:xfrm>
          <a:off x="7815263" y="4686300"/>
          <a:ext cx="309560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10583</xdr:colOff>
      <xdr:row>31</xdr:row>
      <xdr:rowOff>114302</xdr:rowOff>
    </xdr:from>
    <xdr:to>
      <xdr:col>45</xdr:col>
      <xdr:colOff>171448</xdr:colOff>
      <xdr:row>31</xdr:row>
      <xdr:rowOff>116417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0FCF3A59-297A-429B-8C74-AD6BC9B8BF07}"/>
            </a:ext>
          </a:extLst>
        </xdr:cNvPr>
        <xdr:cNvCxnSpPr/>
      </xdr:nvCxnSpPr>
      <xdr:spPr>
        <a:xfrm flipV="1">
          <a:off x="7792508" y="5829302"/>
          <a:ext cx="341840" cy="211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38097</xdr:colOff>
      <xdr:row>19</xdr:row>
      <xdr:rowOff>119064</xdr:rowOff>
    </xdr:from>
    <xdr:to>
      <xdr:col>61</xdr:col>
      <xdr:colOff>9523</xdr:colOff>
      <xdr:row>19</xdr:row>
      <xdr:rowOff>119064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48A56946-4F86-4AE3-BBA3-1593A6AAB788}"/>
            </a:ext>
          </a:extLst>
        </xdr:cNvPr>
        <xdr:cNvCxnSpPr/>
      </xdr:nvCxnSpPr>
      <xdr:spPr>
        <a:xfrm>
          <a:off x="10534647" y="3548064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38097</xdr:colOff>
      <xdr:row>19</xdr:row>
      <xdr:rowOff>114301</xdr:rowOff>
    </xdr:from>
    <xdr:to>
      <xdr:col>67</xdr:col>
      <xdr:colOff>9523</xdr:colOff>
      <xdr:row>19</xdr:row>
      <xdr:rowOff>114301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CCCF352C-EF81-4D07-A94D-7B1CCFDEF265}"/>
            </a:ext>
          </a:extLst>
        </xdr:cNvPr>
        <xdr:cNvCxnSpPr/>
      </xdr:nvCxnSpPr>
      <xdr:spPr>
        <a:xfrm>
          <a:off x="11620497" y="3543301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38097</xdr:colOff>
      <xdr:row>25</xdr:row>
      <xdr:rowOff>114302</xdr:rowOff>
    </xdr:from>
    <xdr:to>
      <xdr:col>61</xdr:col>
      <xdr:colOff>9523</xdr:colOff>
      <xdr:row>25</xdr:row>
      <xdr:rowOff>114302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A446C8AB-A852-4E0D-9289-1F443CF982F2}"/>
            </a:ext>
          </a:extLst>
        </xdr:cNvPr>
        <xdr:cNvCxnSpPr/>
      </xdr:nvCxnSpPr>
      <xdr:spPr>
        <a:xfrm>
          <a:off x="10534647" y="4686302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38097</xdr:colOff>
      <xdr:row>25</xdr:row>
      <xdr:rowOff>114302</xdr:rowOff>
    </xdr:from>
    <xdr:to>
      <xdr:col>67</xdr:col>
      <xdr:colOff>9523</xdr:colOff>
      <xdr:row>25</xdr:row>
      <xdr:rowOff>114302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D16116CA-200A-4F33-AC40-3F7FD653D39B}"/>
            </a:ext>
          </a:extLst>
        </xdr:cNvPr>
        <xdr:cNvCxnSpPr/>
      </xdr:nvCxnSpPr>
      <xdr:spPr>
        <a:xfrm>
          <a:off x="11620497" y="4686302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38097</xdr:colOff>
      <xdr:row>31</xdr:row>
      <xdr:rowOff>114301</xdr:rowOff>
    </xdr:from>
    <xdr:to>
      <xdr:col>61</xdr:col>
      <xdr:colOff>9523</xdr:colOff>
      <xdr:row>31</xdr:row>
      <xdr:rowOff>114301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A641D7E0-04DB-4943-80BE-DE5AB3EBB94B}"/>
            </a:ext>
          </a:extLst>
        </xdr:cNvPr>
        <xdr:cNvCxnSpPr/>
      </xdr:nvCxnSpPr>
      <xdr:spPr>
        <a:xfrm>
          <a:off x="10534647" y="5829301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38097</xdr:colOff>
      <xdr:row>31</xdr:row>
      <xdr:rowOff>114301</xdr:rowOff>
    </xdr:from>
    <xdr:to>
      <xdr:col>67</xdr:col>
      <xdr:colOff>9523</xdr:colOff>
      <xdr:row>31</xdr:row>
      <xdr:rowOff>114301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E6E504D7-C437-4B48-8FE7-BB43231320C8}"/>
            </a:ext>
          </a:extLst>
        </xdr:cNvPr>
        <xdr:cNvCxnSpPr/>
      </xdr:nvCxnSpPr>
      <xdr:spPr>
        <a:xfrm>
          <a:off x="11620497" y="5829301"/>
          <a:ext cx="33337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57150</xdr:colOff>
      <xdr:row>18</xdr:row>
      <xdr:rowOff>0</xdr:rowOff>
    </xdr:from>
    <xdr:to>
      <xdr:col>44</xdr:col>
      <xdr:colOff>57150</xdr:colOff>
      <xdr:row>20</xdr:row>
      <xdr:rowOff>180973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FC00E633-C432-418B-AB44-3E3F4976E1FC}"/>
            </a:ext>
          </a:extLst>
        </xdr:cNvPr>
        <xdr:cNvCxnSpPr/>
      </xdr:nvCxnSpPr>
      <xdr:spPr>
        <a:xfrm flipV="1">
          <a:off x="7839075" y="3238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57150</xdr:colOff>
      <xdr:row>22</xdr:row>
      <xdr:rowOff>19043</xdr:rowOff>
    </xdr:from>
    <xdr:to>
      <xdr:col>44</xdr:col>
      <xdr:colOff>57153</xdr:colOff>
      <xdr:row>23</xdr:row>
      <xdr:rowOff>0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630A75A2-D8B6-486F-89E2-FC644306E08F}"/>
            </a:ext>
          </a:extLst>
        </xdr:cNvPr>
        <xdr:cNvCxnSpPr/>
      </xdr:nvCxnSpPr>
      <xdr:spPr>
        <a:xfrm flipH="1">
          <a:off x="7839075" y="4019543"/>
          <a:ext cx="3" cy="1714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57150</xdr:colOff>
      <xdr:row>24</xdr:row>
      <xdr:rowOff>0</xdr:rowOff>
    </xdr:from>
    <xdr:to>
      <xdr:col>44</xdr:col>
      <xdr:colOff>57150</xdr:colOff>
      <xdr:row>26</xdr:row>
      <xdr:rowOff>180973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9AB03EF9-3F6B-4831-88D3-8FA5C1B1DBA1}"/>
            </a:ext>
          </a:extLst>
        </xdr:cNvPr>
        <xdr:cNvCxnSpPr/>
      </xdr:nvCxnSpPr>
      <xdr:spPr>
        <a:xfrm flipV="1">
          <a:off x="7839075" y="4381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57150</xdr:colOff>
      <xdr:row>28</xdr:row>
      <xdr:rowOff>19043</xdr:rowOff>
    </xdr:from>
    <xdr:to>
      <xdr:col>44</xdr:col>
      <xdr:colOff>57153</xdr:colOff>
      <xdr:row>29</xdr:row>
      <xdr:rowOff>0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362AFF0F-5D76-4F82-8C09-7A510B435AB4}"/>
            </a:ext>
          </a:extLst>
        </xdr:cNvPr>
        <xdr:cNvCxnSpPr/>
      </xdr:nvCxnSpPr>
      <xdr:spPr>
        <a:xfrm flipH="1">
          <a:off x="7839075" y="5162543"/>
          <a:ext cx="3" cy="1714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57150</xdr:colOff>
      <xdr:row>30</xdr:row>
      <xdr:rowOff>0</xdr:rowOff>
    </xdr:from>
    <xdr:to>
      <xdr:col>44</xdr:col>
      <xdr:colOff>57150</xdr:colOff>
      <xdr:row>32</xdr:row>
      <xdr:rowOff>180973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57A1B65A-7FB4-4AFB-8057-475E2AA6E4C0}"/>
            </a:ext>
          </a:extLst>
        </xdr:cNvPr>
        <xdr:cNvCxnSpPr/>
      </xdr:nvCxnSpPr>
      <xdr:spPr>
        <a:xfrm flipV="1">
          <a:off x="7839075" y="5524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57150</xdr:colOff>
      <xdr:row>34</xdr:row>
      <xdr:rowOff>19043</xdr:rowOff>
    </xdr:from>
    <xdr:to>
      <xdr:col>44</xdr:col>
      <xdr:colOff>57153</xdr:colOff>
      <xdr:row>35</xdr:row>
      <xdr:rowOff>0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7C1C6C39-191B-43C9-99A0-7F5CBFF32588}"/>
            </a:ext>
          </a:extLst>
        </xdr:cNvPr>
        <xdr:cNvCxnSpPr/>
      </xdr:nvCxnSpPr>
      <xdr:spPr>
        <a:xfrm flipH="1">
          <a:off x="7839075" y="6305543"/>
          <a:ext cx="3" cy="1714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66675</xdr:colOff>
      <xdr:row>18</xdr:row>
      <xdr:rowOff>0</xdr:rowOff>
    </xdr:from>
    <xdr:to>
      <xdr:col>59</xdr:col>
      <xdr:colOff>66675</xdr:colOff>
      <xdr:row>20</xdr:row>
      <xdr:rowOff>180973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BB2B3FDD-638B-471B-96A0-F8C0257968A3}"/>
            </a:ext>
          </a:extLst>
        </xdr:cNvPr>
        <xdr:cNvCxnSpPr/>
      </xdr:nvCxnSpPr>
      <xdr:spPr>
        <a:xfrm flipV="1">
          <a:off x="10563225" y="3238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66675</xdr:colOff>
      <xdr:row>22</xdr:row>
      <xdr:rowOff>19043</xdr:rowOff>
    </xdr:from>
    <xdr:to>
      <xdr:col>59</xdr:col>
      <xdr:colOff>66678</xdr:colOff>
      <xdr:row>23</xdr:row>
      <xdr:rowOff>0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90DB17B8-CD91-4DEE-817F-FE26835EF63C}"/>
            </a:ext>
          </a:extLst>
        </xdr:cNvPr>
        <xdr:cNvCxnSpPr/>
      </xdr:nvCxnSpPr>
      <xdr:spPr>
        <a:xfrm flipH="1">
          <a:off x="10563225" y="4019543"/>
          <a:ext cx="3" cy="1714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76200</xdr:colOff>
      <xdr:row>24</xdr:row>
      <xdr:rowOff>0</xdr:rowOff>
    </xdr:from>
    <xdr:to>
      <xdr:col>59</xdr:col>
      <xdr:colOff>76200</xdr:colOff>
      <xdr:row>26</xdr:row>
      <xdr:rowOff>180973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B89177F8-D3CA-436C-B1E8-5C3D5F8D77E7}"/>
            </a:ext>
          </a:extLst>
        </xdr:cNvPr>
        <xdr:cNvCxnSpPr/>
      </xdr:nvCxnSpPr>
      <xdr:spPr>
        <a:xfrm flipV="1">
          <a:off x="10572750" y="4381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76200</xdr:colOff>
      <xdr:row>28</xdr:row>
      <xdr:rowOff>19043</xdr:rowOff>
    </xdr:from>
    <xdr:to>
      <xdr:col>59</xdr:col>
      <xdr:colOff>76203</xdr:colOff>
      <xdr:row>29</xdr:row>
      <xdr:rowOff>0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E2CD5ED0-9AF1-4113-B12B-A0369EFD5AFB}"/>
            </a:ext>
          </a:extLst>
        </xdr:cNvPr>
        <xdr:cNvCxnSpPr/>
      </xdr:nvCxnSpPr>
      <xdr:spPr>
        <a:xfrm flipH="1">
          <a:off x="10572750" y="5162543"/>
          <a:ext cx="3" cy="1714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66675</xdr:colOff>
      <xdr:row>30</xdr:row>
      <xdr:rowOff>0</xdr:rowOff>
    </xdr:from>
    <xdr:to>
      <xdr:col>59</xdr:col>
      <xdr:colOff>66675</xdr:colOff>
      <xdr:row>32</xdr:row>
      <xdr:rowOff>180973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id="{145E0EEC-AB8E-418D-8FEE-63FEF9273EA9}"/>
            </a:ext>
          </a:extLst>
        </xdr:cNvPr>
        <xdr:cNvCxnSpPr/>
      </xdr:nvCxnSpPr>
      <xdr:spPr>
        <a:xfrm flipV="1">
          <a:off x="10563225" y="5524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66675</xdr:colOff>
      <xdr:row>34</xdr:row>
      <xdr:rowOff>19043</xdr:rowOff>
    </xdr:from>
    <xdr:to>
      <xdr:col>59</xdr:col>
      <xdr:colOff>66678</xdr:colOff>
      <xdr:row>35</xdr:row>
      <xdr:rowOff>0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123DB61B-B9B0-4834-A856-C16549EB39C7}"/>
            </a:ext>
          </a:extLst>
        </xdr:cNvPr>
        <xdr:cNvCxnSpPr/>
      </xdr:nvCxnSpPr>
      <xdr:spPr>
        <a:xfrm flipH="1">
          <a:off x="10563225" y="6305543"/>
          <a:ext cx="3" cy="1714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66675</xdr:colOff>
      <xdr:row>18</xdr:row>
      <xdr:rowOff>0</xdr:rowOff>
    </xdr:from>
    <xdr:to>
      <xdr:col>65</xdr:col>
      <xdr:colOff>66675</xdr:colOff>
      <xdr:row>20</xdr:row>
      <xdr:rowOff>180973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1E316CF6-446E-4EF9-8E67-B31D84D80BED}"/>
            </a:ext>
          </a:extLst>
        </xdr:cNvPr>
        <xdr:cNvCxnSpPr/>
      </xdr:nvCxnSpPr>
      <xdr:spPr>
        <a:xfrm flipV="1">
          <a:off x="11649075" y="3238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66675</xdr:colOff>
      <xdr:row>22</xdr:row>
      <xdr:rowOff>19043</xdr:rowOff>
    </xdr:from>
    <xdr:to>
      <xdr:col>65</xdr:col>
      <xdr:colOff>66678</xdr:colOff>
      <xdr:row>23</xdr:row>
      <xdr:rowOff>0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CBCBD3C2-3618-4965-98AB-597DD9A14265}"/>
            </a:ext>
          </a:extLst>
        </xdr:cNvPr>
        <xdr:cNvCxnSpPr/>
      </xdr:nvCxnSpPr>
      <xdr:spPr>
        <a:xfrm flipH="1">
          <a:off x="11649075" y="4019543"/>
          <a:ext cx="3" cy="1714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76200</xdr:colOff>
      <xdr:row>24</xdr:row>
      <xdr:rowOff>0</xdr:rowOff>
    </xdr:from>
    <xdr:to>
      <xdr:col>65</xdr:col>
      <xdr:colOff>76200</xdr:colOff>
      <xdr:row>26</xdr:row>
      <xdr:rowOff>180973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DF033784-3C8E-44F6-BF9F-661A1306DC54}"/>
            </a:ext>
          </a:extLst>
        </xdr:cNvPr>
        <xdr:cNvCxnSpPr/>
      </xdr:nvCxnSpPr>
      <xdr:spPr>
        <a:xfrm flipV="1">
          <a:off x="11658600" y="4381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76200</xdr:colOff>
      <xdr:row>28</xdr:row>
      <xdr:rowOff>19043</xdr:rowOff>
    </xdr:from>
    <xdr:to>
      <xdr:col>65</xdr:col>
      <xdr:colOff>76203</xdr:colOff>
      <xdr:row>29</xdr:row>
      <xdr:rowOff>0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69B2379B-C2EF-455A-A1DE-4EE07E82F248}"/>
            </a:ext>
          </a:extLst>
        </xdr:cNvPr>
        <xdr:cNvCxnSpPr/>
      </xdr:nvCxnSpPr>
      <xdr:spPr>
        <a:xfrm flipH="1">
          <a:off x="11658600" y="5162543"/>
          <a:ext cx="3" cy="1714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76200</xdr:colOff>
      <xdr:row>30</xdr:row>
      <xdr:rowOff>0</xdr:rowOff>
    </xdr:from>
    <xdr:to>
      <xdr:col>65</xdr:col>
      <xdr:colOff>76200</xdr:colOff>
      <xdr:row>32</xdr:row>
      <xdr:rowOff>180973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B614A2B6-7F83-4C50-A5BF-1F4A7B00FB6A}"/>
            </a:ext>
          </a:extLst>
        </xdr:cNvPr>
        <xdr:cNvCxnSpPr/>
      </xdr:nvCxnSpPr>
      <xdr:spPr>
        <a:xfrm flipV="1">
          <a:off x="11658600" y="5524500"/>
          <a:ext cx="0" cy="561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76200</xdr:colOff>
      <xdr:row>34</xdr:row>
      <xdr:rowOff>19043</xdr:rowOff>
    </xdr:from>
    <xdr:to>
      <xdr:col>65</xdr:col>
      <xdr:colOff>76203</xdr:colOff>
      <xdr:row>35</xdr:row>
      <xdr:rowOff>0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7FB89AA7-172E-4E6B-8534-0CF93093FF84}"/>
            </a:ext>
          </a:extLst>
        </xdr:cNvPr>
        <xdr:cNvCxnSpPr/>
      </xdr:nvCxnSpPr>
      <xdr:spPr>
        <a:xfrm flipH="1">
          <a:off x="11658600" y="6305543"/>
          <a:ext cx="3" cy="1714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0</xdr:colOff>
      <xdr:row>38</xdr:row>
      <xdr:rowOff>114300</xdr:rowOff>
    </xdr:from>
    <xdr:to>
      <xdr:col>59</xdr:col>
      <xdr:colOff>161925</xdr:colOff>
      <xdr:row>38</xdr:row>
      <xdr:rowOff>114300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B12E8A06-1246-49D1-A18B-F631D7321DAB}"/>
            </a:ext>
          </a:extLst>
        </xdr:cNvPr>
        <xdr:cNvCxnSpPr/>
      </xdr:nvCxnSpPr>
      <xdr:spPr>
        <a:xfrm flipH="1">
          <a:off x="9772650" y="7162800"/>
          <a:ext cx="8858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152401</xdr:colOff>
      <xdr:row>40</xdr:row>
      <xdr:rowOff>95250</xdr:rowOff>
    </xdr:from>
    <xdr:to>
      <xdr:col>59</xdr:col>
      <xdr:colOff>171450</xdr:colOff>
      <xdr:row>40</xdr:row>
      <xdr:rowOff>104775</xdr:rowOff>
    </xdr:to>
    <xdr:cxnSp macro="">
      <xdr:nvCxnSpPr>
        <xdr:cNvPr id="101" name="Straight Arrow Connector 100">
          <a:extLst>
            <a:ext uri="{FF2B5EF4-FFF2-40B4-BE49-F238E27FC236}">
              <a16:creationId xmlns:a16="http://schemas.microsoft.com/office/drawing/2014/main" id="{29585321-A4F7-4A4D-81EB-DA181EC2DD81}"/>
            </a:ext>
          </a:extLst>
        </xdr:cNvPr>
        <xdr:cNvCxnSpPr/>
      </xdr:nvCxnSpPr>
      <xdr:spPr>
        <a:xfrm flipH="1">
          <a:off x="9563101" y="7524750"/>
          <a:ext cx="110489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9525</xdr:colOff>
      <xdr:row>38</xdr:row>
      <xdr:rowOff>114300</xdr:rowOff>
    </xdr:from>
    <xdr:to>
      <xdr:col>67</xdr:col>
      <xdr:colOff>171450</xdr:colOff>
      <xdr:row>38</xdr:row>
      <xdr:rowOff>114300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818797A3-1A45-4CBD-A904-2EF0D120C79E}"/>
            </a:ext>
          </a:extLst>
        </xdr:cNvPr>
        <xdr:cNvCxnSpPr/>
      </xdr:nvCxnSpPr>
      <xdr:spPr>
        <a:xfrm>
          <a:off x="11229975" y="7162800"/>
          <a:ext cx="8858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9525</xdr:colOff>
      <xdr:row>40</xdr:row>
      <xdr:rowOff>104775</xdr:rowOff>
    </xdr:from>
    <xdr:to>
      <xdr:col>69</xdr:col>
      <xdr:colOff>0</xdr:colOff>
      <xdr:row>40</xdr:row>
      <xdr:rowOff>104775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E2574F09-C0D6-45E7-BE1C-53D590F047F6}"/>
            </a:ext>
          </a:extLst>
        </xdr:cNvPr>
        <xdr:cNvCxnSpPr/>
      </xdr:nvCxnSpPr>
      <xdr:spPr>
        <a:xfrm>
          <a:off x="11229975" y="75342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2</xdr:colOff>
      <xdr:row>19</xdr:row>
      <xdr:rowOff>110286</xdr:rowOff>
    </xdr:from>
    <xdr:to>
      <xdr:col>56</xdr:col>
      <xdr:colOff>18546</xdr:colOff>
      <xdr:row>19</xdr:row>
      <xdr:rowOff>110287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1A77C8F5-4D10-4BBC-AC0B-BAB5884F0658}"/>
            </a:ext>
          </a:extLst>
        </xdr:cNvPr>
        <xdr:cNvCxnSpPr/>
      </xdr:nvCxnSpPr>
      <xdr:spPr>
        <a:xfrm flipH="1">
          <a:off x="9953627" y="3539286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25</xdr:row>
      <xdr:rowOff>123817</xdr:rowOff>
    </xdr:from>
    <xdr:to>
      <xdr:col>56</xdr:col>
      <xdr:colOff>18544</xdr:colOff>
      <xdr:row>25</xdr:row>
      <xdr:rowOff>123818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0ED79540-D243-4681-9D0F-2FDF052368E0}"/>
            </a:ext>
          </a:extLst>
        </xdr:cNvPr>
        <xdr:cNvCxnSpPr/>
      </xdr:nvCxnSpPr>
      <xdr:spPr>
        <a:xfrm flipH="1">
          <a:off x="9953625" y="4695817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180965</xdr:colOff>
      <xdr:row>31</xdr:row>
      <xdr:rowOff>123821</xdr:rowOff>
    </xdr:from>
    <xdr:to>
      <xdr:col>56</xdr:col>
      <xdr:colOff>18534</xdr:colOff>
      <xdr:row>31</xdr:row>
      <xdr:rowOff>123822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C0853F75-41F1-43DA-AB0E-564A146B9100}"/>
            </a:ext>
          </a:extLst>
        </xdr:cNvPr>
        <xdr:cNvCxnSpPr/>
      </xdr:nvCxnSpPr>
      <xdr:spPr>
        <a:xfrm flipH="1">
          <a:off x="9953615" y="5838821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176184</xdr:colOff>
      <xdr:row>19</xdr:row>
      <xdr:rowOff>114296</xdr:rowOff>
    </xdr:from>
    <xdr:to>
      <xdr:col>62</xdr:col>
      <xdr:colOff>13753</xdr:colOff>
      <xdr:row>19</xdr:row>
      <xdr:rowOff>114297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5B973E34-AFD2-47B1-8C48-03CB43060C49}"/>
            </a:ext>
          </a:extLst>
        </xdr:cNvPr>
        <xdr:cNvCxnSpPr/>
      </xdr:nvCxnSpPr>
      <xdr:spPr>
        <a:xfrm flipH="1">
          <a:off x="11034684" y="3543296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0</xdr:colOff>
      <xdr:row>25</xdr:row>
      <xdr:rowOff>119071</xdr:rowOff>
    </xdr:from>
    <xdr:to>
      <xdr:col>62</xdr:col>
      <xdr:colOff>18544</xdr:colOff>
      <xdr:row>25</xdr:row>
      <xdr:rowOff>119072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A3D32CE3-2742-4E61-8A78-CD57E4FBFB1F}"/>
            </a:ext>
          </a:extLst>
        </xdr:cNvPr>
        <xdr:cNvCxnSpPr/>
      </xdr:nvCxnSpPr>
      <xdr:spPr>
        <a:xfrm flipH="1">
          <a:off x="11039475" y="4691071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0</xdr:colOff>
      <xdr:row>31</xdr:row>
      <xdr:rowOff>119075</xdr:rowOff>
    </xdr:from>
    <xdr:to>
      <xdr:col>62</xdr:col>
      <xdr:colOff>18544</xdr:colOff>
      <xdr:row>31</xdr:row>
      <xdr:rowOff>119076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C714A83E-17CE-494F-A003-779B0FB6AB7E}"/>
            </a:ext>
          </a:extLst>
        </xdr:cNvPr>
        <xdr:cNvCxnSpPr/>
      </xdr:nvCxnSpPr>
      <xdr:spPr>
        <a:xfrm flipH="1">
          <a:off x="11039475" y="5834075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27</xdr:row>
      <xdr:rowOff>104781</xdr:rowOff>
    </xdr:from>
    <xdr:to>
      <xdr:col>19</xdr:col>
      <xdr:colOff>18544</xdr:colOff>
      <xdr:row>27</xdr:row>
      <xdr:rowOff>104782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AE120776-F315-4DF1-9DFD-C93ECF7612F5}"/>
            </a:ext>
          </a:extLst>
        </xdr:cNvPr>
        <xdr:cNvCxnSpPr/>
      </xdr:nvCxnSpPr>
      <xdr:spPr>
        <a:xfrm flipH="1">
          <a:off x="3438525" y="4295781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</xdr:row>
      <xdr:rowOff>119071</xdr:rowOff>
    </xdr:from>
    <xdr:to>
      <xdr:col>19</xdr:col>
      <xdr:colOff>18544</xdr:colOff>
      <xdr:row>34</xdr:row>
      <xdr:rowOff>119072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8E515E92-2A22-4743-A962-780A5310971B}"/>
            </a:ext>
          </a:extLst>
        </xdr:cNvPr>
        <xdr:cNvCxnSpPr/>
      </xdr:nvCxnSpPr>
      <xdr:spPr>
        <a:xfrm flipH="1">
          <a:off x="3438525" y="5643571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27</xdr:row>
      <xdr:rowOff>104780</xdr:rowOff>
    </xdr:from>
    <xdr:to>
      <xdr:col>25</xdr:col>
      <xdr:colOff>18544</xdr:colOff>
      <xdr:row>27</xdr:row>
      <xdr:rowOff>104781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5602E74F-0B74-42C4-A880-BE89701BC7E0}"/>
            </a:ext>
          </a:extLst>
        </xdr:cNvPr>
        <xdr:cNvCxnSpPr/>
      </xdr:nvCxnSpPr>
      <xdr:spPr>
        <a:xfrm flipH="1">
          <a:off x="4524375" y="4295780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34</xdr:row>
      <xdr:rowOff>119069</xdr:rowOff>
    </xdr:from>
    <xdr:to>
      <xdr:col>25</xdr:col>
      <xdr:colOff>18544</xdr:colOff>
      <xdr:row>34</xdr:row>
      <xdr:rowOff>119070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6EC41140-F2D9-4DC1-BE45-82CD100663BB}"/>
            </a:ext>
          </a:extLst>
        </xdr:cNvPr>
        <xdr:cNvCxnSpPr/>
      </xdr:nvCxnSpPr>
      <xdr:spPr>
        <a:xfrm flipH="1">
          <a:off x="4524375" y="5643569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</xdr:row>
      <xdr:rowOff>119071</xdr:rowOff>
    </xdr:from>
    <xdr:to>
      <xdr:col>19</xdr:col>
      <xdr:colOff>18544</xdr:colOff>
      <xdr:row>9</xdr:row>
      <xdr:rowOff>119072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1D58A22D-D483-4C40-864C-79DD8261C6A3}"/>
            </a:ext>
          </a:extLst>
        </xdr:cNvPr>
        <xdr:cNvCxnSpPr/>
      </xdr:nvCxnSpPr>
      <xdr:spPr>
        <a:xfrm flipH="1">
          <a:off x="3438525" y="881071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9</xdr:row>
      <xdr:rowOff>119070</xdr:rowOff>
    </xdr:from>
    <xdr:to>
      <xdr:col>25</xdr:col>
      <xdr:colOff>18544</xdr:colOff>
      <xdr:row>9</xdr:row>
      <xdr:rowOff>119071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D2CC0025-E745-4645-86FB-D1EE57690465}"/>
            </a:ext>
          </a:extLst>
        </xdr:cNvPr>
        <xdr:cNvCxnSpPr/>
      </xdr:nvCxnSpPr>
      <xdr:spPr>
        <a:xfrm flipH="1">
          <a:off x="4524375" y="881070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119067</xdr:rowOff>
    </xdr:from>
    <xdr:to>
      <xdr:col>3</xdr:col>
      <xdr:colOff>18544</xdr:colOff>
      <xdr:row>9</xdr:row>
      <xdr:rowOff>119068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26338BDC-AD39-4B82-8276-5F8C3EF6693A}"/>
            </a:ext>
          </a:extLst>
        </xdr:cNvPr>
        <xdr:cNvCxnSpPr/>
      </xdr:nvCxnSpPr>
      <xdr:spPr>
        <a:xfrm flipH="1">
          <a:off x="542925" y="881067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27</xdr:row>
      <xdr:rowOff>109544</xdr:rowOff>
    </xdr:from>
    <xdr:to>
      <xdr:col>3</xdr:col>
      <xdr:colOff>18544</xdr:colOff>
      <xdr:row>27</xdr:row>
      <xdr:rowOff>109545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8FC80B8C-996D-4545-AE5E-05D21EEB212E}"/>
            </a:ext>
          </a:extLst>
        </xdr:cNvPr>
        <xdr:cNvCxnSpPr/>
      </xdr:nvCxnSpPr>
      <xdr:spPr>
        <a:xfrm flipH="1">
          <a:off x="542925" y="4300544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34</xdr:row>
      <xdr:rowOff>119071</xdr:rowOff>
    </xdr:from>
    <xdr:to>
      <xdr:col>3</xdr:col>
      <xdr:colOff>18544</xdr:colOff>
      <xdr:row>34</xdr:row>
      <xdr:rowOff>119072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2415EACC-A395-4A8B-939B-33CF075929B1}"/>
            </a:ext>
          </a:extLst>
        </xdr:cNvPr>
        <xdr:cNvCxnSpPr/>
      </xdr:nvCxnSpPr>
      <xdr:spPr>
        <a:xfrm flipH="1">
          <a:off x="542925" y="5643571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19</xdr:row>
      <xdr:rowOff>119066</xdr:rowOff>
    </xdr:from>
    <xdr:to>
      <xdr:col>41</xdr:col>
      <xdr:colOff>18544</xdr:colOff>
      <xdr:row>19</xdr:row>
      <xdr:rowOff>119067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6E58AA75-2C98-4FD4-8476-2D6FD574330C}"/>
            </a:ext>
          </a:extLst>
        </xdr:cNvPr>
        <xdr:cNvCxnSpPr/>
      </xdr:nvCxnSpPr>
      <xdr:spPr>
        <a:xfrm flipH="1">
          <a:off x="7239000" y="3548066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25</xdr:row>
      <xdr:rowOff>119069</xdr:rowOff>
    </xdr:from>
    <xdr:to>
      <xdr:col>41</xdr:col>
      <xdr:colOff>18544</xdr:colOff>
      <xdr:row>25</xdr:row>
      <xdr:rowOff>119070</xdr:rowOff>
    </xdr:to>
    <xdr:cxnSp macro="">
      <xdr:nvCxnSpPr>
        <xdr:cNvPr id="121" name="Straight Arrow Connector 120">
          <a:extLst>
            <a:ext uri="{FF2B5EF4-FFF2-40B4-BE49-F238E27FC236}">
              <a16:creationId xmlns:a16="http://schemas.microsoft.com/office/drawing/2014/main" id="{118A4408-96CC-49D4-8126-8FF0B3D7F8B3}"/>
            </a:ext>
          </a:extLst>
        </xdr:cNvPr>
        <xdr:cNvCxnSpPr/>
      </xdr:nvCxnSpPr>
      <xdr:spPr>
        <a:xfrm flipH="1">
          <a:off x="7239000" y="4691069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31</xdr:row>
      <xdr:rowOff>114307</xdr:rowOff>
    </xdr:from>
    <xdr:to>
      <xdr:col>41</xdr:col>
      <xdr:colOff>18544</xdr:colOff>
      <xdr:row>31</xdr:row>
      <xdr:rowOff>114308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939BA980-AED9-4BD1-8C4B-D653CE09C65F}"/>
            </a:ext>
          </a:extLst>
        </xdr:cNvPr>
        <xdr:cNvCxnSpPr/>
      </xdr:nvCxnSpPr>
      <xdr:spPr>
        <a:xfrm flipH="1">
          <a:off x="7239000" y="5829307"/>
          <a:ext cx="1854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74</xdr:col>
      <xdr:colOff>94134</xdr:colOff>
      <xdr:row>13</xdr:row>
      <xdr:rowOff>82439</xdr:rowOff>
    </xdr:from>
    <xdr:ext cx="1647947" cy="4984750"/>
    <xdr:pic>
      <xdr:nvPicPr>
        <xdr:cNvPr id="123" name="Picture 122">
          <a:extLst>
            <a:ext uri="{FF2B5EF4-FFF2-40B4-BE49-F238E27FC236}">
              <a16:creationId xmlns:a16="http://schemas.microsoft.com/office/drawing/2014/main" id="{5125697B-BFE9-46CF-ABC4-87E553821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5309" y="2368439"/>
          <a:ext cx="1647947" cy="498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45</xdr:col>
      <xdr:colOff>78731</xdr:colOff>
      <xdr:row>0</xdr:row>
      <xdr:rowOff>152399</xdr:rowOff>
    </xdr:from>
    <xdr:to>
      <xdr:col>53</xdr:col>
      <xdr:colOff>76201</xdr:colOff>
      <xdr:row>5</xdr:row>
      <xdr:rowOff>28574</xdr:rowOff>
    </xdr:to>
    <xdr:pic>
      <xdr:nvPicPr>
        <xdr:cNvPr id="125" name="Picture 124" descr="A logo for a company&#10;&#10;Description automatically generated">
          <a:extLst>
            <a:ext uri="{FF2B5EF4-FFF2-40B4-BE49-F238E27FC236}">
              <a16:creationId xmlns:a16="http://schemas.microsoft.com/office/drawing/2014/main" id="{C0F767A0-8928-4DCC-1709-BA067615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1631" y="838199"/>
          <a:ext cx="144527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C5D646-4AFF-42CC-9E95-9BF77CD7EA51}" name="Table1" displayName="Table1" ref="A1:J20" totalsRowShown="0" headerRowDxfId="11" dataDxfId="10">
  <autoFilter ref="A1:J20" xr:uid="{65C5D646-4AFF-42CC-9E95-9BF77CD7EA51}"/>
  <sortState xmlns:xlrd2="http://schemas.microsoft.com/office/spreadsheetml/2017/richdata2" ref="A2:F20">
    <sortCondition ref="A3:A21"/>
  </sortState>
  <tableColumns count="10">
    <tableColumn id="1" xr3:uid="{EEEB49F8-F7C1-43F8-A71B-7401CDB4B4D8}" name="DoorStyle" dataDxfId="9"/>
    <tableColumn id="2" xr3:uid="{FFAFC058-F019-49CD-AAF9-49710BFE07A0}" name="PanelType" dataDxfId="8"/>
    <tableColumn id="3" xr3:uid="{C48FD01A-DBC7-4A49-BD9B-8F2ACDC6CA26}" name="InsideProfile" dataDxfId="7"/>
    <tableColumn id="4" xr3:uid="{E792D3D7-C2F4-4090-8AFE-8AA161B0DF63}" name="StileWidth" dataDxfId="6"/>
    <tableColumn id="5" xr3:uid="{89693DE6-10F8-421B-9639-A182921A04E3}" name="RailWidth" dataDxfId="5"/>
    <tableColumn id="6" xr3:uid="{E7E8BF0F-1765-4A9A-9F74-EB2D16F33D07}" name="CabLine" dataDxfId="4"/>
    <tableColumn id="7" xr3:uid="{2871AD6D-36E8-4D6E-BFD4-0BF7F6D52EEE}" name="5pcRailWidthSM" dataDxfId="3"/>
    <tableColumn id="8" xr3:uid="{509312F9-326A-4AFD-9251-338EC6E62D10}" name="5pcRailWidthLG" dataDxfId="2"/>
    <tableColumn id="9" xr3:uid="{E9E282EE-B3AD-4327-AB06-C44747F89ADF}" name="5pcStileWidth" dataDxfId="1"/>
    <tableColumn id="10" xr3:uid="{C763EB0A-1574-4DAA-93C5-2BB302F71CF7}" name="Panel Inse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3E24-2FA3-4565-BDE3-FC8966977C73}">
  <sheetPr codeName="Sheet2"/>
  <dimension ref="B2:CS45"/>
  <sheetViews>
    <sheetView showRowColHeaders="0" tabSelected="1" workbookViewId="0">
      <selection activeCell="M3" sqref="M3"/>
    </sheetView>
  </sheetViews>
  <sheetFormatPr defaultRowHeight="14.25" customHeight="1" x14ac:dyDescent="0.25"/>
  <cols>
    <col min="1" max="74" width="2.7109375" style="1" customWidth="1"/>
    <col min="75" max="16384" width="9.140625" style="1"/>
  </cols>
  <sheetData>
    <row r="2" spans="2:80" ht="14.25" customHeight="1" x14ac:dyDescent="0.25">
      <c r="E2" s="20" t="s">
        <v>3</v>
      </c>
      <c r="F2" s="21"/>
      <c r="G2" s="21"/>
      <c r="H2" s="21"/>
      <c r="I2" s="21"/>
      <c r="J2" s="22"/>
      <c r="P2" s="26" t="s">
        <v>7</v>
      </c>
      <c r="Q2" s="27"/>
      <c r="R2" s="27"/>
      <c r="S2" s="27"/>
      <c r="T2" s="27"/>
      <c r="U2" s="28"/>
      <c r="V2" s="26" t="e">
        <f>LOOKUP(E3,Table!A2:D20)</f>
        <v>#N/A</v>
      </c>
      <c r="W2" s="27"/>
      <c r="X2" s="27"/>
      <c r="Y2" s="29"/>
      <c r="BW2" s="2"/>
    </row>
    <row r="3" spans="2:80" ht="14.25" customHeight="1" x14ac:dyDescent="0.25">
      <c r="E3" s="23"/>
      <c r="F3" s="24"/>
      <c r="G3" s="24"/>
      <c r="H3" s="24"/>
      <c r="I3" s="24"/>
      <c r="J3" s="25"/>
      <c r="P3" s="26" t="s">
        <v>8</v>
      </c>
      <c r="Q3" s="27"/>
      <c r="R3" s="27"/>
      <c r="S3" s="27"/>
      <c r="T3" s="27"/>
      <c r="U3" s="28"/>
      <c r="V3" s="26" t="e">
        <f>LOOKUP(E3,Table!A2:E20)</f>
        <v>#N/A</v>
      </c>
      <c r="W3" s="27"/>
      <c r="X3" s="27"/>
      <c r="Y3" s="29"/>
      <c r="AP3" s="6"/>
      <c r="AZ3"/>
      <c r="BJ3" s="54" t="s">
        <v>0</v>
      </c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</row>
    <row r="4" spans="2:80" ht="14.25" customHeight="1" x14ac:dyDescent="0.3">
      <c r="AB4" s="19" t="str">
        <f>IF(AND(E3="Riverton",BR10&gt;20.5),"N/A Over 20 1/2 wide, or 40 1/2 tall",IF(AND(E3="Riverton",BR12&gt;40.5),"N/A Over 20 1/2 wide, or 40 1/2 tall"," "))</f>
        <v xml:space="preserve"> </v>
      </c>
      <c r="AM4" s="6"/>
      <c r="BJ4" s="6"/>
    </row>
    <row r="5" spans="2:80" ht="14.25" customHeight="1" x14ac:dyDescent="0.25">
      <c r="AM5" s="6"/>
      <c r="BJ5" s="58" t="s">
        <v>5</v>
      </c>
      <c r="BK5" s="59"/>
      <c r="BL5" s="59"/>
      <c r="BM5" s="59"/>
      <c r="BN5" s="59"/>
      <c r="BO5" s="59"/>
      <c r="BP5" s="59"/>
      <c r="BQ5" s="60"/>
      <c r="BR5" s="57"/>
      <c r="BS5" s="57"/>
      <c r="BT5" s="57"/>
      <c r="BU5" s="57"/>
      <c r="BV5" s="57"/>
    </row>
    <row r="6" spans="2:80" ht="14.25" customHeight="1" x14ac:dyDescent="0.25">
      <c r="AM6" s="6"/>
      <c r="AP6" s="64" t="s">
        <v>4</v>
      </c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J6" s="61"/>
      <c r="BK6" s="62"/>
      <c r="BL6" s="62"/>
      <c r="BM6" s="62"/>
      <c r="BN6" s="62"/>
      <c r="BO6" s="62"/>
      <c r="BP6" s="62"/>
      <c r="BQ6" s="63"/>
      <c r="BR6" s="57"/>
      <c r="BS6" s="57"/>
      <c r="BT6" s="57"/>
      <c r="BU6" s="57"/>
      <c r="BV6" s="57"/>
    </row>
    <row r="7" spans="2:80" ht="14.25" customHeight="1" thickBot="1" x14ac:dyDescent="0.3">
      <c r="B7" s="3"/>
      <c r="C7" s="44" t="str">
        <f>IF(AB4&lt;&gt;" "," ",IF(AND(BR10&lt;25.0625,BR10&gt;0,BR12&lt;42.0625),IF(BR7&lt;BR12,0,(BR7-BR12)/2),""))</f>
        <v/>
      </c>
      <c r="D7" s="44"/>
      <c r="E7" s="44"/>
      <c r="F7" s="44"/>
      <c r="G7" s="44"/>
      <c r="H7" s="44"/>
      <c r="I7" s="44"/>
      <c r="J7" s="44"/>
      <c r="K7" s="4"/>
      <c r="M7" s="5"/>
      <c r="O7" s="39" t="str">
        <f>IF(AB4&lt;&gt;" "," ",IF(AND(BR10&lt;25.0625,BR10&gt;0, BR12&lt;42.0625),BR7,""))</f>
        <v/>
      </c>
      <c r="R7" s="3"/>
      <c r="S7" s="53" t="str">
        <f>IF(AB4&lt;&gt;" "," ",IF(AND(BR12&lt;42.0625, BR10&gt;25),IF(BR7&lt;BR12,0,(BR7-BR12)/2),""))</f>
        <v/>
      </c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4"/>
      <c r="AH7" s="5"/>
      <c r="AJ7" s="39" t="str">
        <f>IF(AB4&lt;&gt;" "," ",IF(AND(BR12&lt;42.0625, BR10&gt;25),BR7,""))</f>
        <v/>
      </c>
      <c r="AK7" s="6"/>
      <c r="AL7" s="6"/>
      <c r="AM7" s="6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J7" s="58" t="s">
        <v>6</v>
      </c>
      <c r="BK7" s="59"/>
      <c r="BL7" s="59"/>
      <c r="BM7" s="59"/>
      <c r="BN7" s="59"/>
      <c r="BO7" s="59"/>
      <c r="BP7" s="59"/>
      <c r="BQ7" s="60"/>
      <c r="BR7" s="57"/>
      <c r="BS7" s="57"/>
      <c r="BT7" s="57"/>
      <c r="BU7" s="57"/>
      <c r="BV7" s="57"/>
    </row>
    <row r="8" spans="2:80" ht="14.25" customHeight="1" thickBot="1" x14ac:dyDescent="0.3">
      <c r="B8" s="51" t="str">
        <f>IF(AB4&lt;&gt;" "," ",IF(AND(BR10&lt;25.0625,BR10&gt;0,BR12&lt;42.0625),IF(BR5&lt;BR10,0,(BR5-BR10)/2),""))</f>
        <v/>
      </c>
      <c r="C8" s="31" t="str">
        <f>IF(AB4&lt;&gt;" "," ",IF(AND(BR10&lt;25.0625,BR10&gt;0,BR12&lt;42.0625),stilewidth,""))</f>
        <v/>
      </c>
      <c r="D8" s="34" t="str">
        <f>IF(AB4&lt;&gt;" "," ",IF(AND(BR10&lt;25.0625,BR10&gt;0,BR12&lt;42.0625),railwidth,""))</f>
        <v/>
      </c>
      <c r="E8" s="34"/>
      <c r="F8" s="34"/>
      <c r="G8" s="34"/>
      <c r="H8" s="34"/>
      <c r="I8" s="34"/>
      <c r="J8" s="31" t="str">
        <f>IF(AB4&lt;&gt;" "," ",IF(AND(BR10&lt;25.0625,BR10&gt;0,BR12&lt;42.0625),stilewidth,""))</f>
        <v/>
      </c>
      <c r="K8" s="38" t="str">
        <f>B8</f>
        <v/>
      </c>
      <c r="M8" s="39" t="str">
        <f>IF(AB4&lt;&gt;" "," ",IF(AND(BR10&lt;25.0625,BR10&gt;0,BR12&lt;42.0625),BR12,""))</f>
        <v/>
      </c>
      <c r="O8" s="40"/>
      <c r="R8" s="7"/>
      <c r="S8" s="31" t="str">
        <f>IF(AB4&lt;&gt;" "," ",IF(AND(BR12&lt;42.0625, BR10&gt;25),stilewidth,""))</f>
        <v/>
      </c>
      <c r="T8" s="34" t="str">
        <f>IF(AB4&lt;&gt;" "," ",IF(AND(BR12&lt;42.0625, BR10&gt;25),railwidth,""))</f>
        <v/>
      </c>
      <c r="U8" s="34"/>
      <c r="V8" s="34"/>
      <c r="W8" s="34"/>
      <c r="X8" s="34"/>
      <c r="Y8" s="34"/>
      <c r="Z8" s="34"/>
      <c r="AA8" s="34"/>
      <c r="AB8" s="34"/>
      <c r="AC8" s="34"/>
      <c r="AD8" s="34"/>
      <c r="AE8" s="31" t="str">
        <f>IF(AB4&lt;&gt;" "," ",IF(AND(BR12&lt;42.0625, BR10&gt;25),stilewidth,""))</f>
        <v/>
      </c>
      <c r="AF8" s="8"/>
      <c r="AH8" s="39" t="str">
        <f>IF(AB4&lt;&gt;" "," ",IF(AND(BR12&lt;42.0625, BR10&gt;25),BR12,""))</f>
        <v/>
      </c>
      <c r="AJ8" s="40"/>
      <c r="AK8" s="6"/>
      <c r="AL8" s="6"/>
      <c r="AM8" s="6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J8" s="61"/>
      <c r="BK8" s="62"/>
      <c r="BL8" s="62"/>
      <c r="BM8" s="62"/>
      <c r="BN8" s="62"/>
      <c r="BO8" s="62"/>
      <c r="BP8" s="62"/>
      <c r="BQ8" s="63"/>
      <c r="BR8" s="57"/>
      <c r="BS8" s="57"/>
      <c r="BT8" s="57"/>
      <c r="BU8" s="57"/>
      <c r="BV8" s="57"/>
    </row>
    <row r="9" spans="2:80" ht="14.25" customHeight="1" x14ac:dyDescent="0.25">
      <c r="B9" s="51"/>
      <c r="C9" s="43">
        <f t="shared" ref="C9:C17" si="0">IF(AND($BR$10&lt;25.0625,$BR$12&lt;42.625),(AA12-AA15)/2,"")</f>
        <v>0</v>
      </c>
      <c r="J9" s="43">
        <f t="shared" ref="J9:J17" si="1">IF(AND($BR$10&lt;25.0625,$BR$12&lt;42.625),(AH12-AH15)/2,"")</f>
        <v>0</v>
      </c>
      <c r="K9" s="38"/>
      <c r="M9" s="40"/>
      <c r="O9" s="40"/>
      <c r="R9" s="51" t="str">
        <f>IF(AB4&lt;&gt;" "," ",IF(AND(BR12&lt;42.0625, BR10&gt;25),IF(BR5&lt;BR10,0,(BR5-BR10)/2),""))</f>
        <v/>
      </c>
      <c r="S9" s="43" t="str">
        <f t="shared" ref="S9:S17" si="2">IF(AND($BR$12&lt;42.0625, $BR$10&gt;25),3,"")</f>
        <v/>
      </c>
      <c r="Y9" s="31" t="str">
        <f>IF(AB4&lt;&gt;" "," ",IF(AND(BR12&lt;42.0625, BR10&gt;25),3,""))</f>
        <v/>
      </c>
      <c r="AE9" s="43" t="str">
        <f t="shared" ref="AE9:AE17" si="3">IF(AND($BR$12&lt;42.0625, $BR$10&gt;25),3,"")</f>
        <v/>
      </c>
      <c r="AF9" s="38" t="str">
        <f>R9</f>
        <v/>
      </c>
      <c r="AH9" s="40"/>
      <c r="AJ9" s="40"/>
      <c r="AK9" s="6"/>
      <c r="AL9" s="6"/>
      <c r="AM9" s="6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</row>
    <row r="10" spans="2:80" ht="14.25" customHeight="1" x14ac:dyDescent="0.25">
      <c r="B10" s="51"/>
      <c r="C10" s="43">
        <f t="shared" si="0"/>
        <v>0</v>
      </c>
      <c r="D10" s="30" t="str">
        <f>IF(AB4&lt;&gt;" "," ",IF(AND(BR10&lt;25.0625,BR10&gt;0,BR12&lt;42.0625),BR10-(stilewidth*2),""))</f>
        <v/>
      </c>
      <c r="E10" s="30">
        <f>IF(AND($BR$10&lt;25.0625,$BR$12&lt;42.625),(AC13-AC16)/2,"")</f>
        <v>0</v>
      </c>
      <c r="F10" s="30">
        <f>IF(AND($BR$10&lt;25.0625,$BR$12&lt;42.625),(AD13-AD16)/2,"")</f>
        <v>0</v>
      </c>
      <c r="G10" s="30" t="e">
        <f>IF(AND($BR$10&lt;25.0625,$BR$12&lt;42.625),(AE13-AE16)/2,"")</f>
        <v>#VALUE!</v>
      </c>
      <c r="H10" s="30">
        <f>IF(AND($BR$10&lt;25.0625,$BR$12&lt;42.625),(AF13-AF16)/2,"")</f>
        <v>0</v>
      </c>
      <c r="I10" s="30">
        <f>IF(AND($BR$10&lt;25.0625,$BR$12&lt;42.625),(AG13-AG16)/2,"")</f>
        <v>0</v>
      </c>
      <c r="J10" s="43">
        <f t="shared" si="1"/>
        <v>0</v>
      </c>
      <c r="K10" s="38"/>
      <c r="M10" s="40"/>
      <c r="O10" s="40"/>
      <c r="R10" s="51"/>
      <c r="S10" s="43" t="str">
        <f t="shared" si="2"/>
        <v/>
      </c>
      <c r="T10" s="30" t="str">
        <f>IF(AB4&lt;&gt;" "," ",IF(AND(BR12&lt;42.0625, BR10&gt;25),(BR10-(stilewidth*3))/2,""))</f>
        <v/>
      </c>
      <c r="U10" s="30" t="str">
        <f>IF(AND($BR$12&lt;42.0625, $BR$10&gt;25),3,"")</f>
        <v/>
      </c>
      <c r="V10" s="30" t="str">
        <f>IF(AND($BR$12&lt;42.0625, $BR$10&gt;25),3,"")</f>
        <v/>
      </c>
      <c r="W10" s="30" t="str">
        <f>IF(AND($BR$12&lt;42.0625, $BR$10&gt;25),3,"")</f>
        <v/>
      </c>
      <c r="X10" s="30" t="str">
        <f>IF(AND($BR$12&lt;42.0625, $BR$10&gt;25),3,"")</f>
        <v/>
      </c>
      <c r="Y10" s="43" t="str">
        <f>IF(AND($BR$12&lt;42.0625, $BR$10&gt;25),3,"")</f>
        <v/>
      </c>
      <c r="Z10" s="30" t="str">
        <f>IF(AB4&lt;&gt;" "," ",IF(AND(BR12&lt;42.0625, BR10&gt;25),((BR10-(stilewidth*3))/2),""))</f>
        <v/>
      </c>
      <c r="AA10" s="30" t="str">
        <f>IF(AND($BR$12&lt;42.0625, $BR$10&gt;25),3,"")</f>
        <v/>
      </c>
      <c r="AB10" s="30" t="str">
        <f>IF(AND($BR$12&lt;42.0625, $BR$10&gt;25),3,"")</f>
        <v/>
      </c>
      <c r="AC10" s="30" t="str">
        <f>IF(AND($BR$12&lt;42.0625, $BR$10&gt;25),3,"")</f>
        <v/>
      </c>
      <c r="AD10" s="30" t="str">
        <f>IF(AND($BR$12&lt;42.0625, $BR$10&gt;25),3,"")</f>
        <v/>
      </c>
      <c r="AE10" s="43" t="str">
        <f t="shared" si="3"/>
        <v/>
      </c>
      <c r="AF10" s="38"/>
      <c r="AH10" s="40"/>
      <c r="AJ10" s="40"/>
      <c r="AK10" s="6"/>
      <c r="AL10" s="6"/>
      <c r="AM10" s="6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J10" s="56" t="s">
        <v>1</v>
      </c>
      <c r="BK10" s="56"/>
      <c r="BL10" s="56"/>
      <c r="BM10" s="56"/>
      <c r="BN10" s="56"/>
      <c r="BO10" s="56"/>
      <c r="BP10" s="56"/>
      <c r="BQ10" s="56"/>
      <c r="BR10" s="57"/>
      <c r="BS10" s="57"/>
      <c r="BT10" s="57"/>
      <c r="BU10" s="57"/>
      <c r="BV10" s="57"/>
    </row>
    <row r="11" spans="2:80" ht="14.25" customHeight="1" x14ac:dyDescent="0.25">
      <c r="B11" s="51"/>
      <c r="C11" s="43" t="e">
        <f t="shared" si="0"/>
        <v>#VALUE!</v>
      </c>
      <c r="J11" s="43">
        <f t="shared" si="1"/>
        <v>0</v>
      </c>
      <c r="K11" s="38"/>
      <c r="M11" s="40"/>
      <c r="O11" s="40"/>
      <c r="R11" s="51"/>
      <c r="S11" s="43" t="str">
        <f t="shared" si="2"/>
        <v/>
      </c>
      <c r="Y11" s="43" t="str">
        <f t="shared" ref="Y11:Y17" si="4">IF(AND($BR$12&lt;42.0625, $BR$10&gt;25),3,"")</f>
        <v/>
      </c>
      <c r="AE11" s="43" t="str">
        <f t="shared" si="3"/>
        <v/>
      </c>
      <c r="AF11" s="38"/>
      <c r="AH11" s="40"/>
      <c r="AJ11" s="40"/>
      <c r="AK11" s="6"/>
      <c r="AL11" s="6"/>
      <c r="AM11" s="6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J11" s="56"/>
      <c r="BK11" s="56"/>
      <c r="BL11" s="56"/>
      <c r="BM11" s="56"/>
      <c r="BN11" s="56"/>
      <c r="BO11" s="56"/>
      <c r="BP11" s="56"/>
      <c r="BQ11" s="56"/>
      <c r="BR11" s="57"/>
      <c r="BS11" s="57"/>
      <c r="BT11" s="57"/>
      <c r="BU11" s="57"/>
      <c r="BV11" s="57"/>
    </row>
    <row r="12" spans="2:80" ht="14.25" customHeight="1" x14ac:dyDescent="0.25">
      <c r="B12" s="51"/>
      <c r="C12" s="43">
        <f t="shared" si="0"/>
        <v>0</v>
      </c>
      <c r="J12" s="43">
        <f t="shared" si="1"/>
        <v>0</v>
      </c>
      <c r="K12" s="38"/>
      <c r="M12" s="40"/>
      <c r="O12" s="40"/>
      <c r="R12" s="51"/>
      <c r="S12" s="43" t="str">
        <f t="shared" si="2"/>
        <v/>
      </c>
      <c r="Y12" s="43" t="str">
        <f t="shared" si="4"/>
        <v/>
      </c>
      <c r="AE12" s="43" t="str">
        <f t="shared" si="3"/>
        <v/>
      </c>
      <c r="AF12" s="38"/>
      <c r="AH12" s="40"/>
      <c r="AJ12" s="40"/>
      <c r="AK12" s="6"/>
      <c r="AL12" s="6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J12" s="56" t="s">
        <v>2</v>
      </c>
      <c r="BK12" s="56"/>
      <c r="BL12" s="56"/>
      <c r="BM12" s="56"/>
      <c r="BN12" s="56"/>
      <c r="BO12" s="56"/>
      <c r="BP12" s="56"/>
      <c r="BQ12" s="56"/>
      <c r="BR12" s="57"/>
      <c r="BS12" s="57"/>
      <c r="BT12" s="57"/>
      <c r="BU12" s="57"/>
      <c r="BV12" s="57"/>
    </row>
    <row r="13" spans="2:80" ht="14.25" customHeight="1" x14ac:dyDescent="0.25">
      <c r="B13" s="51"/>
      <c r="C13" s="43">
        <f t="shared" si="0"/>
        <v>0</v>
      </c>
      <c r="D13" s="42" t="str">
        <f>IF(AB4&lt;&gt;" "," ",IF(AND(BR10&lt;25.0625,BR10&gt;0,BR12&lt;42.0625),BR12-(railwidth*2),""))</f>
        <v/>
      </c>
      <c r="E13" s="42">
        <f>IF(AND($BR$10&lt;25.0625,$BR$12&lt;42.625),(AC16-AC19)/2,"")</f>
        <v>0</v>
      </c>
      <c r="F13" s="42">
        <f>IF(AND($BR$10&lt;25.0625,$BR$12&lt;42.625),(AD16-AD19)/2,"")</f>
        <v>0</v>
      </c>
      <c r="G13" s="42" t="e">
        <f>IF(AND($BR$10&lt;25.0625,$BR$12&lt;42.625),(AE16-AE19)/2,"")</f>
        <v>#VALUE!</v>
      </c>
      <c r="H13" s="42">
        <f>IF(AND($BR$10&lt;25.0625,$BR$12&lt;42.625),(AF16-AF19)/2,"")</f>
        <v>0</v>
      </c>
      <c r="I13" s="42">
        <f>IF(AND($BR$10&lt;25.0625,$BR$12&lt;42.625),(AG16-AG19)/2,"")</f>
        <v>0</v>
      </c>
      <c r="J13" s="43">
        <f t="shared" si="1"/>
        <v>0</v>
      </c>
      <c r="K13" s="38"/>
      <c r="M13" s="40"/>
      <c r="O13" s="40"/>
      <c r="R13" s="51"/>
      <c r="S13" s="43" t="str">
        <f t="shared" si="2"/>
        <v/>
      </c>
      <c r="T13" s="42" t="str">
        <f>IF(AB4&lt;&gt;" "," ",IF(AND(BR12&lt;42.0625, BR10&gt;25),(BR12-(railwidth*2)),""))</f>
        <v/>
      </c>
      <c r="U13" s="42"/>
      <c r="V13" s="42"/>
      <c r="W13" s="42"/>
      <c r="X13" s="42"/>
      <c r="Y13" s="43" t="str">
        <f t="shared" si="4"/>
        <v/>
      </c>
      <c r="Z13" s="42" t="str">
        <f>IF(AB4&lt;&gt;" "," ",IF(AND(BR12&lt;42.0625, BR10&gt;25),(BR12-(railwidth*2)),""))</f>
        <v/>
      </c>
      <c r="AA13" s="42"/>
      <c r="AB13" s="42"/>
      <c r="AC13" s="42"/>
      <c r="AD13" s="42"/>
      <c r="AE13" s="43" t="str">
        <f t="shared" si="3"/>
        <v/>
      </c>
      <c r="AF13" s="38"/>
      <c r="AH13" s="40"/>
      <c r="AJ13" s="40"/>
      <c r="AK13" s="6"/>
      <c r="AL13" s="6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J13" s="56"/>
      <c r="BK13" s="56"/>
      <c r="BL13" s="56"/>
      <c r="BM13" s="56"/>
      <c r="BN13" s="56"/>
      <c r="BO13" s="56"/>
      <c r="BP13" s="56"/>
      <c r="BQ13" s="56"/>
      <c r="BR13" s="57"/>
      <c r="BS13" s="57"/>
      <c r="BT13" s="57"/>
      <c r="BU13" s="57"/>
      <c r="BV13" s="57"/>
    </row>
    <row r="14" spans="2:80" ht="14.25" customHeight="1" x14ac:dyDescent="0.25">
      <c r="B14" s="51"/>
      <c r="C14" s="43" t="e">
        <f t="shared" si="0"/>
        <v>#VALUE!</v>
      </c>
      <c r="J14" s="43">
        <f t="shared" si="1"/>
        <v>0</v>
      </c>
      <c r="K14" s="38"/>
      <c r="M14" s="40"/>
      <c r="O14" s="40"/>
      <c r="R14" s="51"/>
      <c r="S14" s="43" t="str">
        <f t="shared" si="2"/>
        <v/>
      </c>
      <c r="Y14" s="43" t="str">
        <f t="shared" si="4"/>
        <v/>
      </c>
      <c r="AE14" s="43" t="str">
        <f t="shared" si="3"/>
        <v/>
      </c>
      <c r="AF14" s="38"/>
      <c r="AH14" s="40"/>
      <c r="AJ14" s="40"/>
      <c r="AK14" s="6"/>
      <c r="AL14" s="6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CB14" s="13"/>
    </row>
    <row r="15" spans="2:80" ht="14.25" customHeight="1" x14ac:dyDescent="0.25">
      <c r="B15" s="51"/>
      <c r="C15" s="43">
        <f t="shared" si="0"/>
        <v>0</v>
      </c>
      <c r="J15" s="43">
        <f t="shared" si="1"/>
        <v>0</v>
      </c>
      <c r="K15" s="38"/>
      <c r="M15" s="40"/>
      <c r="O15" s="40"/>
      <c r="R15" s="51"/>
      <c r="S15" s="43" t="str">
        <f t="shared" si="2"/>
        <v/>
      </c>
      <c r="Y15" s="43" t="str">
        <f t="shared" si="4"/>
        <v/>
      </c>
      <c r="AE15" s="43" t="str">
        <f t="shared" si="3"/>
        <v/>
      </c>
      <c r="AF15" s="38"/>
      <c r="AH15" s="40"/>
      <c r="AJ15" s="40"/>
      <c r="AK15" s="6"/>
      <c r="AL15" s="6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CA15" s="13"/>
      <c r="CB15" s="13"/>
    </row>
    <row r="16" spans="2:80" ht="14.25" customHeight="1" thickBot="1" x14ac:dyDescent="0.3">
      <c r="B16" s="51"/>
      <c r="C16" s="43">
        <f t="shared" si="0"/>
        <v>0</v>
      </c>
      <c r="J16" s="43">
        <f t="shared" si="1"/>
        <v>0</v>
      </c>
      <c r="K16" s="38"/>
      <c r="M16" s="40"/>
      <c r="O16" s="40"/>
      <c r="R16" s="51"/>
      <c r="S16" s="43" t="str">
        <f t="shared" si="2"/>
        <v/>
      </c>
      <c r="Y16" s="43" t="str">
        <f t="shared" si="4"/>
        <v/>
      </c>
      <c r="AE16" s="43" t="str">
        <f t="shared" si="3"/>
        <v/>
      </c>
      <c r="AF16" s="38"/>
      <c r="AH16" s="40"/>
      <c r="AJ16" s="40"/>
      <c r="AK16" s="6"/>
      <c r="AL16" s="6"/>
      <c r="AM16" s="6"/>
      <c r="AN16" s="6"/>
      <c r="CA16" s="13"/>
      <c r="CB16" s="13"/>
    </row>
    <row r="17" spans="2:97" ht="14.25" customHeight="1" thickBot="1" x14ac:dyDescent="0.3">
      <c r="B17" s="51"/>
      <c r="C17" s="50">
        <f t="shared" si="0"/>
        <v>0</v>
      </c>
      <c r="D17" s="34" t="str">
        <f>IF(AB4&lt;&gt;" "," ",IF(AND(BR10&lt;25.0625,BR10&gt;0,BR12&lt;42.0625),railwidth,""))</f>
        <v/>
      </c>
      <c r="E17" s="34">
        <f>IF(AND($BR$10&lt;25.0625,$BR$12&lt;42.625),(AC20-AC23)/2,"")</f>
        <v>0</v>
      </c>
      <c r="F17" s="34">
        <f>IF(AND($BR$10&lt;25.0625,$BR$12&lt;42.625),(AD20-AD23)/2,"")</f>
        <v>0</v>
      </c>
      <c r="G17" s="34">
        <f>IF(AND($BR$10&lt;25.0625,$BR$12&lt;42.625),(AE20-AE23)/2,"")</f>
        <v>0</v>
      </c>
      <c r="H17" s="34">
        <f>IF(AND($BR$10&lt;25.0625,$BR$12&lt;42.625),(AF20-AF23)/2,"")</f>
        <v>0</v>
      </c>
      <c r="I17" s="37">
        <f>IF(AND($BR$10&lt;25.0625,$BR$12&lt;42.625),(AG20-AG23)/2,"")</f>
        <v>0</v>
      </c>
      <c r="J17" s="50">
        <f t="shared" si="1"/>
        <v>0</v>
      </c>
      <c r="K17" s="38"/>
      <c r="M17" s="41"/>
      <c r="O17" s="40"/>
      <c r="R17" s="7"/>
      <c r="S17" s="50" t="str">
        <f t="shared" si="2"/>
        <v/>
      </c>
      <c r="T17" s="33" t="str">
        <f>IF(AB4&lt;&gt;" "," ",IF(AND(BR12&lt;42.0625, BR10&gt;25),railwidth,""))</f>
        <v/>
      </c>
      <c r="U17" s="34" t="str">
        <f>IF(AND($BR$12&lt;42.0625, $BR$10&gt;25),3,"")</f>
        <v/>
      </c>
      <c r="V17" s="34" t="str">
        <f>IF(AND($BR$12&lt;42.0625, $BR$10&gt;25),3,"")</f>
        <v/>
      </c>
      <c r="W17" s="34" t="str">
        <f>IF(AND($BR$12&lt;42.0625, $BR$10&gt;25),3,"")</f>
        <v/>
      </c>
      <c r="X17" s="34" t="str">
        <f>IF(AND($BR$12&lt;42.0625, $BR$10&gt;25),3,"")</f>
        <v/>
      </c>
      <c r="Y17" s="34" t="str">
        <f t="shared" si="4"/>
        <v/>
      </c>
      <c r="Z17" s="34" t="str">
        <f>IF(AND($BR$12&lt;42.0625, $BR$10&gt;25),3,"")</f>
        <v/>
      </c>
      <c r="AA17" s="34" t="str">
        <f>IF(AND($BR$12&lt;42.0625, $BR$10&gt;25),3,"")</f>
        <v/>
      </c>
      <c r="AB17" s="34" t="str">
        <f>IF(AND($BR$12&lt;42.0625, $BR$10&gt;25),3,"")</f>
        <v/>
      </c>
      <c r="AC17" s="34" t="str">
        <f>IF(AND($BR$12&lt;42.0625, $BR$10&gt;25),3,"")</f>
        <v/>
      </c>
      <c r="AD17" s="37" t="str">
        <f>IF(AND($BR$12&lt;42.0625, $BR$10&gt;25),3,"")</f>
        <v/>
      </c>
      <c r="AE17" s="50" t="str">
        <f t="shared" si="3"/>
        <v/>
      </c>
      <c r="AF17" s="9"/>
      <c r="AH17" s="41"/>
      <c r="AJ17" s="40"/>
      <c r="AK17" s="6"/>
      <c r="AL17" s="6"/>
      <c r="AM17" s="6"/>
      <c r="AN17" s="3"/>
      <c r="AO17" s="44" t="str">
        <f>IF(AB4&lt;&gt;" "," ",IF(AND(BR10&lt;25.0625,BR12&gt;72),IF(BR7&lt;BR12,0,(BR7-BR12)/2),""))</f>
        <v/>
      </c>
      <c r="AP17" s="44"/>
      <c r="AQ17" s="44"/>
      <c r="AR17" s="44"/>
      <c r="AS17" s="44"/>
      <c r="AT17" s="44"/>
      <c r="AU17" s="44"/>
      <c r="AV17" s="4"/>
      <c r="AZ17" s="39" t="str">
        <f>IF(AB4&lt;&gt;" "," ",IF(AND(BR10&lt;25.0625,BR12&gt;72),BR7,""))</f>
        <v/>
      </c>
      <c r="BC17" s="3"/>
      <c r="BD17" s="44" t="str">
        <f>IF(AB4&lt;&gt;" "," ",IF(AND(BR10&gt;25,BR12&gt;72),IF(BR7&lt;BR12,0,(BR7-BR12)/2),""))</f>
        <v/>
      </c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"/>
      <c r="BU17" s="39" t="str">
        <f>IF(AB4&lt;&gt;" "," ",IF(AND(BR10&gt;25,BR12&gt;72),BR7,""))</f>
        <v/>
      </c>
      <c r="CA17" s="13"/>
      <c r="CB17" s="13"/>
    </row>
    <row r="18" spans="2:97" ht="14.25" customHeight="1" thickBot="1" x14ac:dyDescent="0.3">
      <c r="B18" s="10"/>
      <c r="C18" s="49" t="str">
        <f>C7</f>
        <v/>
      </c>
      <c r="D18" s="49"/>
      <c r="E18" s="49"/>
      <c r="F18" s="49"/>
      <c r="G18" s="49"/>
      <c r="H18" s="49"/>
      <c r="I18" s="49"/>
      <c r="J18" s="49"/>
      <c r="K18" s="11"/>
      <c r="M18" s="12"/>
      <c r="O18" s="41"/>
      <c r="R18" s="10"/>
      <c r="S18" s="52" t="str">
        <f>S7</f>
        <v/>
      </c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11"/>
      <c r="AH18" s="12"/>
      <c r="AJ18" s="41"/>
      <c r="AK18" s="6"/>
      <c r="AL18" s="6"/>
      <c r="AM18" s="6"/>
      <c r="AN18" s="51" t="str">
        <f>IF(AB4&lt;&gt;" "," ",IF(AND(BR10&lt;25.0625,BR12&gt;72),IF(BR5&lt;BR10,0,(BR5-BR10)/2),""))</f>
        <v/>
      </c>
      <c r="AO18" s="31" t="str">
        <f>IF(AB4&lt;&gt;" "," ",IF(AND(BR10&lt;25.0625,BR12&gt;72),stilewidth,""))</f>
        <v/>
      </c>
      <c r="AP18" s="34" t="str">
        <f>IF(AB4&lt;&gt;" "," ",IF(AND(BR10&lt;25.0625,BR12&gt;72),railwidth,""))</f>
        <v/>
      </c>
      <c r="AQ18" s="34"/>
      <c r="AR18" s="34"/>
      <c r="AS18" s="34"/>
      <c r="AT18" s="34"/>
      <c r="AU18" s="31" t="str">
        <f>IF(AB4&lt;&gt;" "," ",IF(AND(BR10&lt;25.0625,BR12&gt;72),stilewidth,""))</f>
        <v/>
      </c>
      <c r="AV18" s="38" t="str">
        <f>AN18</f>
        <v/>
      </c>
      <c r="AX18" s="39" t="str">
        <f>IF(AB4&lt;&gt;" "," ",IF(AND(BR10&lt;25.0625,BR12&gt;72),BR12,""))</f>
        <v/>
      </c>
      <c r="AZ18" s="40"/>
      <c r="BC18" s="51" t="str">
        <f>IF(AB4&lt;&gt;" "," ",IF(AND(BR10&gt;25,BR12&gt;72),IF(BR5&lt;BR10,0,(BR5-BR10)/2),""))</f>
        <v/>
      </c>
      <c r="BD18" s="31" t="str">
        <f>IF(AB4&lt;&gt;" "," ",IF(AND(BR10&gt;25,BR12&gt;72),stilewidth,""))</f>
        <v/>
      </c>
      <c r="BE18" s="34" t="str">
        <f>IF(AB4&lt;&gt;" "," ",IF(AND(BR10&gt;25,BR12&gt;72),railwidth,""))</f>
        <v/>
      </c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1" t="str">
        <f>IF(AB4&lt;&gt;" "," ",IF(AND(BR10&gt;25,BR12&gt;72),stilewidth,""))</f>
        <v/>
      </c>
      <c r="BQ18" s="38" t="str">
        <f>BC18</f>
        <v/>
      </c>
      <c r="BS18" s="39" t="str">
        <f>IF(AB4&lt;&gt;" "," ",IF(AND(BR10&gt;25,BR12&gt;72),BR12,""))</f>
        <v/>
      </c>
      <c r="BU18" s="40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4.25" customHeight="1" x14ac:dyDescent="0.25">
      <c r="AH19" s="14"/>
      <c r="AN19" s="51"/>
      <c r="AO19" s="43"/>
      <c r="AU19" s="43"/>
      <c r="AV19" s="38"/>
      <c r="AX19" s="40"/>
      <c r="AZ19" s="40"/>
      <c r="BC19" s="51"/>
      <c r="BD19" s="43"/>
      <c r="BJ19" s="31" t="str">
        <f>IF(AB4&lt;&gt;" "," ",IF(AND(BR10&gt;25,BR12&gt;72),stilewidth,""))</f>
        <v/>
      </c>
      <c r="BP19" s="43" t="str">
        <f>IF(AND(CF10&gt;25,CF11&gt;72),(#REF!-9)/2,"")</f>
        <v/>
      </c>
      <c r="BQ19" s="38"/>
      <c r="BS19" s="40"/>
      <c r="BU19" s="40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4.25" customHeight="1" x14ac:dyDescent="0.25">
      <c r="C20" s="45" t="str">
        <f>IF(AB4&lt;&gt;" "," ",IF(AND(BR10&lt;25.0625,BR10&gt;0,BR12&lt;42.0625),BR10,""))</f>
        <v/>
      </c>
      <c r="D20" s="46"/>
      <c r="E20" s="46"/>
      <c r="F20" s="46"/>
      <c r="G20" s="46"/>
      <c r="H20" s="46"/>
      <c r="I20" s="46"/>
      <c r="J20" s="47"/>
      <c r="M20" s="2"/>
      <c r="P20" s="15"/>
      <c r="S20" s="45" t="str">
        <f>IF(AB4&lt;&gt;" "," ",IF(AND(BR10&gt;25,BR12&lt;42.0625),BR10,""))</f>
        <v/>
      </c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7"/>
      <c r="AH20" s="16"/>
      <c r="AI20" s="16"/>
      <c r="AJ20" s="16"/>
      <c r="AK20" s="16"/>
      <c r="AL20" s="16"/>
      <c r="AM20" s="16"/>
      <c r="AN20" s="51"/>
      <c r="AO20" s="43"/>
      <c r="AP20" s="30" t="str">
        <f>IF(AB4&lt;&gt;" "," ",IF(AND(BR10&lt;25.0625,BR12&gt;72),BR10-(stilewidth*2),""))</f>
        <v/>
      </c>
      <c r="AQ20" s="30"/>
      <c r="AR20" s="30"/>
      <c r="AS20" s="30"/>
      <c r="AT20" s="30"/>
      <c r="AU20" s="43"/>
      <c r="AV20" s="38"/>
      <c r="AX20" s="40"/>
      <c r="AZ20" s="40"/>
      <c r="BC20" s="51"/>
      <c r="BD20" s="43"/>
      <c r="BE20" s="30" t="str">
        <f>IF(AB4&lt;&gt;" "," ",IF(AND(BR10&gt;25,BR12&gt;72),(BR10-(stilewidth*3))/2,""))</f>
        <v/>
      </c>
      <c r="BF20" s="30"/>
      <c r="BG20" s="30"/>
      <c r="BH20" s="30"/>
      <c r="BI20" s="30"/>
      <c r="BJ20" s="32"/>
      <c r="BK20" s="30" t="str">
        <f>IF(AB4&lt;&gt;" "," ",IF(AND(BR10&gt;25,BR12&gt;72),(BR10-(stilewidth*3))/2,""))</f>
        <v/>
      </c>
      <c r="BL20" s="30"/>
      <c r="BM20" s="30"/>
      <c r="BN20" s="30"/>
      <c r="BO20" s="30"/>
      <c r="BP20" s="43" t="str">
        <f>IF(AND(CF11&gt;25,CF12&gt;72),(#REF!-9)/2,"")</f>
        <v/>
      </c>
      <c r="BQ20" s="38"/>
      <c r="BS20" s="40"/>
      <c r="BU20" s="40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</row>
    <row r="21" spans="2:97" ht="14.25" customHeight="1" x14ac:dyDescent="0.25">
      <c r="C21" s="2"/>
      <c r="D21" s="2"/>
      <c r="E21" s="2"/>
      <c r="F21" s="2"/>
      <c r="G21" s="2"/>
      <c r="H21" s="2"/>
      <c r="I21" s="2"/>
      <c r="J21" s="2"/>
      <c r="M21" s="2"/>
      <c r="P21" s="1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N21" s="51"/>
      <c r="AO21" s="43"/>
      <c r="AU21" s="43"/>
      <c r="AV21" s="38"/>
      <c r="AX21" s="40"/>
      <c r="AZ21" s="40"/>
      <c r="BC21" s="51"/>
      <c r="BD21" s="43"/>
      <c r="BJ21" s="32"/>
      <c r="BP21" s="43" t="str">
        <f>IF(AND(CF12&gt;25,CF13&gt;72),(#REF!-9)/2,"")</f>
        <v/>
      </c>
      <c r="BQ21" s="38"/>
      <c r="BS21" s="40"/>
      <c r="BU21" s="40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</row>
    <row r="22" spans="2:97" ht="14.25" customHeight="1" x14ac:dyDescent="0.25">
      <c r="B22" s="45" t="str">
        <f>IF(AB4&lt;&gt;" "," ",IF(AND(BR10&lt;25.0625,BR10&gt;0,BR12&lt;42.0625),BR5,""))</f>
        <v/>
      </c>
      <c r="C22" s="46"/>
      <c r="D22" s="46"/>
      <c r="E22" s="46"/>
      <c r="F22" s="46"/>
      <c r="G22" s="46"/>
      <c r="H22" s="46"/>
      <c r="I22" s="46"/>
      <c r="J22" s="46"/>
      <c r="K22" s="47"/>
      <c r="M22" s="2"/>
      <c r="P22" s="15"/>
      <c r="R22" s="45" t="str">
        <f>IF(AB4&lt;&gt;" "," ",IF(AND(BR10&gt;25,BR12&lt;42.0625),BR5,""))</f>
        <v/>
      </c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7"/>
      <c r="AN22" s="51"/>
      <c r="AO22" s="43"/>
      <c r="AP22" s="42" t="str">
        <f>IF(AB4&lt;&gt;" "," ",IF(AND(BR10&lt;25.0625,BR12&gt;72),(BR12-(railwidth*4))/3,""))</f>
        <v/>
      </c>
      <c r="AQ22" s="42"/>
      <c r="AR22" s="42"/>
      <c r="AS22" s="42"/>
      <c r="AT22" s="42"/>
      <c r="AU22" s="43"/>
      <c r="AV22" s="38"/>
      <c r="AX22" s="40"/>
      <c r="AZ22" s="40"/>
      <c r="BC22" s="51"/>
      <c r="BD22" s="43"/>
      <c r="BE22" s="42" t="str">
        <f>IF(AB4&lt;&gt;" "," ",IF(AND(BR10&gt;25,BR12&gt;72),(BR12-(railwidth*4))/3,""))</f>
        <v/>
      </c>
      <c r="BF22" s="42"/>
      <c r="BG22" s="42"/>
      <c r="BH22" s="42"/>
      <c r="BI22" s="42"/>
      <c r="BJ22" s="32"/>
      <c r="BK22" s="42" t="str">
        <f>IF(AB4&lt;&gt;" "," ",IF(AND(BR10&gt;25,BR12&gt;72),(BR12-(railwidth*4))/3,""))</f>
        <v/>
      </c>
      <c r="BL22" s="42"/>
      <c r="BM22" s="42"/>
      <c r="BN22" s="42"/>
      <c r="BO22" s="42"/>
      <c r="BP22" s="43" t="str">
        <f>IF(AND(CF13&gt;25,CF14&gt;72),(#REF!-9)/2,"")</f>
        <v/>
      </c>
      <c r="BQ22" s="38"/>
      <c r="BS22" s="40"/>
      <c r="BU22" s="40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</row>
    <row r="23" spans="2:97" ht="14.25" customHeight="1" thickBot="1" x14ac:dyDescent="0.3">
      <c r="C23" s="2"/>
      <c r="D23" s="2"/>
      <c r="E23" s="2"/>
      <c r="F23" s="2"/>
      <c r="G23" s="2"/>
      <c r="H23" s="2"/>
      <c r="I23" s="2"/>
      <c r="J23" s="2"/>
      <c r="M23" s="2"/>
      <c r="P23" s="15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N23" s="51"/>
      <c r="AO23" s="43"/>
      <c r="AU23" s="43"/>
      <c r="AV23" s="38"/>
      <c r="AX23" s="40"/>
      <c r="AZ23" s="40"/>
      <c r="BC23" s="51"/>
      <c r="BD23" s="43"/>
      <c r="BJ23" s="48"/>
      <c r="BP23" s="43" t="str">
        <f>IF(AND(CF14&gt;25,CF15&gt;72),(#REF!-9)/2,"")</f>
        <v/>
      </c>
      <c r="BQ23" s="38"/>
      <c r="BS23" s="40"/>
      <c r="BU23" s="40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</row>
    <row r="24" spans="2:97" ht="14.25" customHeight="1" thickBot="1" x14ac:dyDescent="0.3">
      <c r="AH24" s="14"/>
      <c r="AN24" s="51"/>
      <c r="AO24" s="43"/>
      <c r="AP24" s="33" t="str">
        <f>IF(AB4&lt;&gt;" "," ",IF(AND(BR10&lt;25.0625,BR12&gt;72),railwidth,""))</f>
        <v/>
      </c>
      <c r="AQ24" s="34"/>
      <c r="AR24" s="34"/>
      <c r="AS24" s="34"/>
      <c r="AT24" s="37"/>
      <c r="AU24" s="43"/>
      <c r="AV24" s="38"/>
      <c r="AX24" s="40"/>
      <c r="AZ24" s="40"/>
      <c r="BC24" s="51"/>
      <c r="BD24" s="43"/>
      <c r="BE24" s="33" t="str">
        <f>IF(AB4&lt;&gt;" "," ",IF(AND(BR10&gt;25,BR12&gt;72),railwidth,""))</f>
        <v/>
      </c>
      <c r="BF24" s="34"/>
      <c r="BG24" s="34"/>
      <c r="BH24" s="34"/>
      <c r="BI24" s="34"/>
      <c r="BJ24" s="35"/>
      <c r="BK24" s="35"/>
      <c r="BL24" s="35"/>
      <c r="BM24" s="35"/>
      <c r="BN24" s="35"/>
      <c r="BO24" s="36"/>
      <c r="BP24" s="43" t="str">
        <f>IF(AND(CF15&gt;25,CF16&gt;72),(#REF!-9)/2,"")</f>
        <v/>
      </c>
      <c r="BQ24" s="38"/>
      <c r="BS24" s="40"/>
      <c r="BU24" s="40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</row>
    <row r="25" spans="2:97" ht="14.25" customHeight="1" thickBot="1" x14ac:dyDescent="0.3">
      <c r="B25" s="3"/>
      <c r="C25" s="44" t="str">
        <f>IF(AB4&lt;&gt;" "," ",IF(AND(BR10&lt;25.0625,BR12&gt;42,BR12&lt;72.0625),IF(BR7&lt;BR12,0,(BR7-BR12)/2),""))</f>
        <v/>
      </c>
      <c r="D25" s="44"/>
      <c r="E25" s="44"/>
      <c r="F25" s="44"/>
      <c r="G25" s="44"/>
      <c r="H25" s="44"/>
      <c r="I25" s="44"/>
      <c r="J25" s="44"/>
      <c r="K25" s="4"/>
      <c r="O25" s="39" t="str">
        <f>IF(AB4&lt;&gt;" "," ",IF(AND(BR10&lt;25.0625,BR12&gt;42,BR12&lt;72.0625),BR7,""))</f>
        <v/>
      </c>
      <c r="R25" s="3"/>
      <c r="S25" s="44" t="str">
        <f>IF(AB4&lt;&gt;" "," ",IF(AND(BR10&gt;25,BR12&gt;42,BR12&lt;72.0625),IF(BR7&lt;BR12,0,(BR7-BR12)/2),""))</f>
        <v/>
      </c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"/>
      <c r="AJ25" s="39" t="str">
        <f>IF(AB4&lt;&gt;" "," ",IF(AND(BR10&gt;25,BR12&gt;42,BR12&lt;72.0625),BR7,""))</f>
        <v/>
      </c>
      <c r="AK25" s="6"/>
      <c r="AL25" s="6"/>
      <c r="AM25" s="6"/>
      <c r="AN25" s="51"/>
      <c r="AO25" s="43"/>
      <c r="AU25" s="43"/>
      <c r="AV25" s="38"/>
      <c r="AX25" s="40"/>
      <c r="AZ25" s="40"/>
      <c r="BC25" s="51"/>
      <c r="BD25" s="43"/>
      <c r="BJ25" s="31" t="str">
        <f>IF(AB4&lt;&gt;" "," ",IF(AND(BR10&gt;25,BR12&gt;72),stilewidth,""))</f>
        <v/>
      </c>
      <c r="BP25" s="43" t="str">
        <f>IF(AND(CF16&gt;25,CF17&gt;72),(#REF!-9)/2,"")</f>
        <v/>
      </c>
      <c r="BQ25" s="38"/>
      <c r="BS25" s="40"/>
      <c r="BU25" s="40"/>
    </row>
    <row r="26" spans="2:97" ht="14.25" customHeight="1" thickBot="1" x14ac:dyDescent="0.3">
      <c r="B26" s="51" t="str">
        <f>IF(AB4&lt;&gt;" "," ",IF(AND(BR10&lt;25.0625,BR12&gt;42,BR12&lt;72.0625),IF(BR5&lt;BR10,0,(BR5-BR10)/2),""))</f>
        <v/>
      </c>
      <c r="C26" s="31" t="str">
        <f>IF(AB4&lt;&gt;" "," ",IF(AND(BR10&lt;25.0625,BR12&gt;42,BR12&lt;72.0625),stilewidth,""))</f>
        <v/>
      </c>
      <c r="D26" s="34" t="str">
        <f>IF(AB4&lt;&gt;" "," ",IF(AND(BR10&lt;25.0625,BR12&gt;42,BR12&lt;72.0625),railwidth,""))</f>
        <v/>
      </c>
      <c r="E26" s="34" t="str">
        <f>IF(AND($BR$10&lt;25.0625,$BR$12&gt;42,$BR$12&lt;72.0625),3,"")</f>
        <v/>
      </c>
      <c r="F26" s="34" t="str">
        <f>IF(AND($BR$10&lt;25.0625,$BR$12&gt;42,$BR$12&lt;72.0625),3,"")</f>
        <v/>
      </c>
      <c r="G26" s="34" t="str">
        <f>IF(AND($BR$10&lt;25.0625,$BR$12&gt;42,$BR$12&lt;72.0625),3,"")</f>
        <v/>
      </c>
      <c r="H26" s="34" t="str">
        <f>IF(AND($BR$10&lt;25.0625,$BR$12&gt;42,$BR$12&lt;72.0625),3,"")</f>
        <v/>
      </c>
      <c r="I26" s="34" t="str">
        <f>IF(AND($BR$10&lt;25.0625,$BR$12&gt;42,$BR$12&lt;72.0625),3,"")</f>
        <v/>
      </c>
      <c r="J26" s="31" t="str">
        <f>IF(AB4&lt;&gt;" "," ",IF(AND(BR10&lt;25.0625,BR12&gt;42,BR12&lt;72.0625),stilewidth,""))</f>
        <v/>
      </c>
      <c r="K26" s="38" t="str">
        <f>B26</f>
        <v/>
      </c>
      <c r="M26" s="39" t="str">
        <f>IF(AB4&lt;&gt;" "," ",IF(AND(BR10&lt;25.0625,BR12&gt;42,BR12&lt;72.0625),BR12,""))</f>
        <v/>
      </c>
      <c r="O26" s="40" t="str">
        <f t="shared" ref="O26:O41" si="5">IF(AND($BR$10&lt;25.0625,$BR$12&gt;42,$BR$12&lt;72.0625),3,"")</f>
        <v/>
      </c>
      <c r="R26" s="51" t="str">
        <f>IF(AB4&lt;&gt;" "," ",IF(AND(BR10&gt;25,BR12&gt;42,BR12&lt;72.0625),IF(BR5&lt;BR10,0,(BR5-BR10)/2),""))</f>
        <v/>
      </c>
      <c r="S26" s="31" t="str">
        <f>IF(AB4&lt;&gt;" "," ",IF(AND(BR10&gt;25,BR12&gt;42,BR12&lt;72.0625),stilewidth,""))</f>
        <v/>
      </c>
      <c r="T26" s="34" t="str">
        <f>IF(AB4&lt;&gt;" "," ",IF(AND(BR10&gt;25,BR12&gt;42,BR12&lt;72.0625),railwidth,""))</f>
        <v/>
      </c>
      <c r="U26" s="34" t="str">
        <f t="shared" ref="U26:AD26" si="6">IF(AND($BR$10&gt;25,$BR$12&gt;42,$BR$12&lt;72.0625),3,"")</f>
        <v/>
      </c>
      <c r="V26" s="34" t="str">
        <f t="shared" si="6"/>
        <v/>
      </c>
      <c r="W26" s="34" t="str">
        <f t="shared" si="6"/>
        <v/>
      </c>
      <c r="X26" s="34" t="str">
        <f t="shared" si="6"/>
        <v/>
      </c>
      <c r="Y26" s="34" t="str">
        <f t="shared" si="6"/>
        <v/>
      </c>
      <c r="Z26" s="34" t="str">
        <f t="shared" si="6"/>
        <v/>
      </c>
      <c r="AA26" s="34" t="str">
        <f t="shared" si="6"/>
        <v/>
      </c>
      <c r="AB26" s="34" t="str">
        <f t="shared" si="6"/>
        <v/>
      </c>
      <c r="AC26" s="34" t="str">
        <f t="shared" si="6"/>
        <v/>
      </c>
      <c r="AD26" s="34" t="str">
        <f t="shared" si="6"/>
        <v/>
      </c>
      <c r="AE26" s="31" t="str">
        <f>IF(AB4&lt;&gt;" "," ",IF(AND(BR10&gt;25,BR12&gt;42,BR12&lt;72.0625),stilewidth,""))</f>
        <v/>
      </c>
      <c r="AF26" s="38" t="str">
        <f>R26</f>
        <v/>
      </c>
      <c r="AH26" s="39" t="str">
        <f>IF(AB4&lt;&gt;" "," ",IF(AND(BR10&gt;25,BR12&gt;42,BR12&lt;72.0625),BR12,""))</f>
        <v/>
      </c>
      <c r="AJ26" s="40"/>
      <c r="AK26" s="6"/>
      <c r="AL26" s="6"/>
      <c r="AM26" s="6"/>
      <c r="AN26" s="51"/>
      <c r="AO26" s="43"/>
      <c r="AP26" s="30" t="str">
        <f>IF(AB4&lt;&gt;" "," ",IF(AND(BR10&lt;25.0625,BR12&gt;72),BR10-(stilewidth*2),""))</f>
        <v/>
      </c>
      <c r="AQ26" s="30"/>
      <c r="AR26" s="30"/>
      <c r="AS26" s="30"/>
      <c r="AT26" s="30"/>
      <c r="AU26" s="43"/>
      <c r="AV26" s="38"/>
      <c r="AX26" s="40"/>
      <c r="AZ26" s="40"/>
      <c r="BC26" s="51"/>
      <c r="BD26" s="43"/>
      <c r="BE26" s="30" t="str">
        <f>IF(AB4&lt;&gt;" "," ",IF(AND(BR10&gt;25,BR12&gt;72),(BR10-(stilewidth*3))/2,""))</f>
        <v/>
      </c>
      <c r="BF26" s="30"/>
      <c r="BG26" s="30"/>
      <c r="BH26" s="30"/>
      <c r="BI26" s="30"/>
      <c r="BJ26" s="32"/>
      <c r="BK26" s="30" t="str">
        <f>IF(AB4&lt;&gt;" "," ",IF(AND(BR10&gt;25,BR12&gt;72),(BR10-(stilewidth*3))/2,""))</f>
        <v/>
      </c>
      <c r="BL26" s="30"/>
      <c r="BM26" s="30"/>
      <c r="BN26" s="30"/>
      <c r="BO26" s="30"/>
      <c r="BP26" s="43" t="e">
        <f>IF(AND(CF17&gt;25,#REF!&gt;72),(#REF!-9)/2,"")</f>
        <v>#REF!</v>
      </c>
      <c r="BQ26" s="38"/>
      <c r="BS26" s="40"/>
      <c r="BU26" s="40"/>
    </row>
    <row r="27" spans="2:97" ht="14.25" customHeight="1" x14ac:dyDescent="0.25">
      <c r="B27" s="51"/>
      <c r="C27" s="43" t="str">
        <f t="shared" ref="C27:C40" si="7">IF(AND($BR$10&lt;25.0625,$BR$12&gt;42,$BR$12&lt;72.0625),3,"")</f>
        <v/>
      </c>
      <c r="J27" s="43" t="str">
        <f t="shared" ref="J27:J40" si="8">IF(AND($BR$10&lt;25.0625,$BR$12&gt;42,$BR$12&lt;72.0625),3,"")</f>
        <v/>
      </c>
      <c r="K27" s="38"/>
      <c r="M27" s="40" t="str">
        <f t="shared" ref="M27:M40" si="9">IF(AND($BR$10&lt;25.0625,$BR$12&gt;42,$BR$12&lt;72.0625),3,"")</f>
        <v/>
      </c>
      <c r="O27" s="40" t="str">
        <f t="shared" si="5"/>
        <v/>
      </c>
      <c r="R27" s="51"/>
      <c r="S27" s="43"/>
      <c r="Y27" s="31" t="str">
        <f>IF(AB4&lt;&gt;" "," ",IF(AND(BR10&gt;25,BR12&gt;42,BR12&lt;72.0625),stilewidth,""))</f>
        <v/>
      </c>
      <c r="AE27" s="43" t="str">
        <f t="shared" ref="AE27:AE40" si="10">IF(AND($BR$10&gt;25,$BR$12&gt;42,$BR$12&lt;72.0625),3,"")</f>
        <v/>
      </c>
      <c r="AF27" s="38"/>
      <c r="AH27" s="40"/>
      <c r="AJ27" s="40"/>
      <c r="AK27" s="6"/>
      <c r="AL27" s="6"/>
      <c r="AM27" s="6"/>
      <c r="AN27" s="51"/>
      <c r="AO27" s="43"/>
      <c r="AU27" s="43"/>
      <c r="AV27" s="38"/>
      <c r="AX27" s="40"/>
      <c r="AZ27" s="40"/>
      <c r="BC27" s="51"/>
      <c r="BD27" s="43"/>
      <c r="BJ27" s="32"/>
      <c r="BP27" s="43" t="e">
        <f>IF(AND(#REF!&gt;25,#REF!&gt;72),(#REF!-9)/2,"")</f>
        <v>#REF!</v>
      </c>
      <c r="BQ27" s="38"/>
      <c r="BS27" s="40"/>
      <c r="BU27" s="40"/>
    </row>
    <row r="28" spans="2:97" ht="14.25" customHeight="1" x14ac:dyDescent="0.25">
      <c r="B28" s="51"/>
      <c r="C28" s="43" t="str">
        <f t="shared" si="7"/>
        <v/>
      </c>
      <c r="D28" s="30" t="str">
        <f>IF(AB4&lt;&gt;" "," ",IF(AND(BR10&lt;25.0625,BR12&gt;42,BR12&lt;72.0625),BR10-(stilewidth*2),""))</f>
        <v/>
      </c>
      <c r="E28" s="30" t="str">
        <f>IF(AND($BR$10&lt;25.0625,$BR$12&gt;42,$BR$12&lt;72.0625),3,"")</f>
        <v/>
      </c>
      <c r="F28" s="30" t="str">
        <f>IF(AND($BR$10&lt;25.0625,$BR$12&gt;42,$BR$12&lt;72.0625),3,"")</f>
        <v/>
      </c>
      <c r="G28" s="30" t="str">
        <f>IF(AND($BR$10&lt;25.0625,$BR$12&gt;42,$BR$12&lt;72.0625),3,"")</f>
        <v/>
      </c>
      <c r="H28" s="30" t="str">
        <f>IF(AND($BR$10&lt;25.0625,$BR$12&gt;42,$BR$12&lt;72.0625),3,"")</f>
        <v/>
      </c>
      <c r="I28" s="30" t="str">
        <f>IF(AND($BR$10&lt;25.0625,$BR$12&gt;42,$BR$12&lt;72.0625),3,"")</f>
        <v/>
      </c>
      <c r="J28" s="43" t="str">
        <f t="shared" si="8"/>
        <v/>
      </c>
      <c r="K28" s="38"/>
      <c r="M28" s="40" t="str">
        <f t="shared" si="9"/>
        <v/>
      </c>
      <c r="O28" s="40" t="str">
        <f t="shared" si="5"/>
        <v/>
      </c>
      <c r="R28" s="51"/>
      <c r="S28" s="43"/>
      <c r="T28" s="30" t="str">
        <f>IF(AB4&lt;&gt;" "," ",IF(AND(BR10&gt;25,BR12&gt;42,BR12&lt;72.0625),(BR10-(stilewidth*3))/2,""))</f>
        <v/>
      </c>
      <c r="U28" s="30"/>
      <c r="V28" s="30"/>
      <c r="W28" s="30"/>
      <c r="X28" s="30"/>
      <c r="Y28" s="32"/>
      <c r="Z28" s="30" t="str">
        <f>IF(AB4&lt;&gt;" "," ",IF(AND(BR10&gt;25,BR12&gt;42,BR12&lt;72.0625),(BR10-(stilewidth*3))/2,""))</f>
        <v/>
      </c>
      <c r="AA28" s="30" t="str">
        <f>IF(AND($BR$10&gt;25,$BR$12&gt;42,$BR$12&lt;72.0625),3,"")</f>
        <v/>
      </c>
      <c r="AB28" s="30" t="str">
        <f>IF(AND($BR$10&gt;25,$BR$12&gt;42,$BR$12&lt;72.0625),3,"")</f>
        <v/>
      </c>
      <c r="AC28" s="30" t="str">
        <f>IF(AND($BR$10&gt;25,$BR$12&gt;42,$BR$12&lt;72.0625),3,"")</f>
        <v/>
      </c>
      <c r="AD28" s="30" t="str">
        <f>IF(AND($BR$10&gt;25,$BR$12&gt;42,$BR$12&lt;72.0625),3,"")</f>
        <v/>
      </c>
      <c r="AE28" s="43" t="str">
        <f t="shared" si="10"/>
        <v/>
      </c>
      <c r="AF28" s="38"/>
      <c r="AH28" s="40"/>
      <c r="AJ28" s="40"/>
      <c r="AK28" s="6"/>
      <c r="AL28" s="6"/>
      <c r="AM28" s="6"/>
      <c r="AN28" s="51"/>
      <c r="AO28" s="43"/>
      <c r="AP28" s="42" t="str">
        <f>IF(AB4&lt;&gt;" "," ",IF(AND(BR10&lt;25.0625,BR12&gt;72),(BR12-(railwidth*4))/3,""))</f>
        <v/>
      </c>
      <c r="AQ28" s="42"/>
      <c r="AR28" s="42"/>
      <c r="AS28" s="42"/>
      <c r="AT28" s="42"/>
      <c r="AU28" s="43"/>
      <c r="AV28" s="38"/>
      <c r="AX28" s="40"/>
      <c r="AZ28" s="40"/>
      <c r="BC28" s="51"/>
      <c r="BD28" s="43"/>
      <c r="BE28" s="42" t="str">
        <f>IF(AB4&lt;&gt;" "," ",IF(AND(BR10&gt;25,BR12&gt;72),(BR12-(railwidth*4))/3,""))</f>
        <v/>
      </c>
      <c r="BF28" s="42"/>
      <c r="BG28" s="42"/>
      <c r="BH28" s="42"/>
      <c r="BI28" s="42"/>
      <c r="BJ28" s="32"/>
      <c r="BK28" s="42" t="str">
        <f>IF(AB4&lt;&gt;" "," ",IF(AND(BR10&gt;25,BR12&gt;72),(BR12-(railwidth*4))/3,""))</f>
        <v/>
      </c>
      <c r="BL28" s="42"/>
      <c r="BM28" s="42"/>
      <c r="BN28" s="42"/>
      <c r="BO28" s="42"/>
      <c r="BP28" s="43" t="e">
        <f>IF(AND(#REF!&gt;25,#REF!&gt;72),(#REF!-9)/2,"")</f>
        <v>#REF!</v>
      </c>
      <c r="BQ28" s="38"/>
      <c r="BS28" s="40"/>
      <c r="BU28" s="40"/>
    </row>
    <row r="29" spans="2:97" ht="14.25" customHeight="1" thickBot="1" x14ac:dyDescent="0.3">
      <c r="B29" s="51"/>
      <c r="C29" s="43" t="str">
        <f t="shared" si="7"/>
        <v/>
      </c>
      <c r="J29" s="43" t="str">
        <f t="shared" si="8"/>
        <v/>
      </c>
      <c r="K29" s="38"/>
      <c r="M29" s="40" t="str">
        <f t="shared" si="9"/>
        <v/>
      </c>
      <c r="O29" s="40" t="str">
        <f t="shared" si="5"/>
        <v/>
      </c>
      <c r="R29" s="51"/>
      <c r="S29" s="43"/>
      <c r="Y29" s="32"/>
      <c r="AE29" s="43" t="str">
        <f t="shared" si="10"/>
        <v/>
      </c>
      <c r="AF29" s="38"/>
      <c r="AH29" s="40"/>
      <c r="AJ29" s="40"/>
      <c r="AK29" s="6"/>
      <c r="AL29" s="6"/>
      <c r="AM29" s="6"/>
      <c r="AN29" s="51"/>
      <c r="AO29" s="43"/>
      <c r="AU29" s="43"/>
      <c r="AV29" s="38"/>
      <c r="AX29" s="40"/>
      <c r="AZ29" s="40"/>
      <c r="BC29" s="51"/>
      <c r="BD29" s="43"/>
      <c r="BJ29" s="48"/>
      <c r="BP29" s="43" t="e">
        <f>IF(AND(#REF!&gt;25,#REF!&gt;72),(#REF!-9)/2,"")</f>
        <v>#REF!</v>
      </c>
      <c r="BQ29" s="38"/>
      <c r="BS29" s="40"/>
      <c r="BU29" s="40"/>
    </row>
    <row r="30" spans="2:97" ht="14.25" customHeight="1" thickBot="1" x14ac:dyDescent="0.3">
      <c r="B30" s="51"/>
      <c r="C30" s="43" t="str">
        <f t="shared" si="7"/>
        <v/>
      </c>
      <c r="D30" s="42" t="str">
        <f>IF(AB4&lt;&gt;" "," ",IF(AND(BR10&lt;25.0625,BR12&gt;42,BR12&lt;72.0625),(BR12-(railwidth*3))/2,""))</f>
        <v/>
      </c>
      <c r="E30" s="42" t="str">
        <f>IF(AND($BR$10&lt;25.0625,$BR$12&gt;42,$BR$12&lt;72.0625),3,"")</f>
        <v/>
      </c>
      <c r="F30" s="42" t="str">
        <f>IF(AND($BR$10&lt;25.0625,$BR$12&gt;42,$BR$12&lt;72.0625),3,"")</f>
        <v/>
      </c>
      <c r="G30" s="42" t="str">
        <f>IF(AND($BR$10&lt;25.0625,$BR$12&gt;42,$BR$12&lt;72.0625),3,"")</f>
        <v/>
      </c>
      <c r="H30" s="42" t="str">
        <f>IF(AND($BR$10&lt;25.0625,$BR$12&gt;42,$BR$12&lt;72.0625),3,"")</f>
        <v/>
      </c>
      <c r="I30" s="42" t="str">
        <f>IF(AND($BR$10&lt;25.0625,$BR$12&gt;42,$BR$12&lt;72.0625),3,"")</f>
        <v/>
      </c>
      <c r="J30" s="43" t="str">
        <f t="shared" si="8"/>
        <v/>
      </c>
      <c r="K30" s="38"/>
      <c r="M30" s="40" t="str">
        <f t="shared" si="9"/>
        <v/>
      </c>
      <c r="O30" s="40" t="str">
        <f t="shared" si="5"/>
        <v/>
      </c>
      <c r="R30" s="51"/>
      <c r="S30" s="43"/>
      <c r="T30" s="42" t="str">
        <f>IF(AB4&lt;&gt;" "," ",IF(AND(BR10&gt;25,BR12&gt;42,BR12&lt;72.0625),(BR12-(railwidth*3))/2,""))</f>
        <v/>
      </c>
      <c r="U30" s="42" t="str">
        <f>IF(AND($BR$10&gt;25,$BR$12&gt;42,$BR$12&lt;72.0625),3,"")</f>
        <v/>
      </c>
      <c r="V30" s="42" t="str">
        <f>IF(AND($BR$10&gt;25,$BR$12&gt;42,$BR$12&lt;72.0625),3,"")</f>
        <v/>
      </c>
      <c r="W30" s="42" t="str">
        <f>IF(AND($BR$10&gt;25,$BR$12&gt;42,$BR$12&lt;72.0625),3,"")</f>
        <v/>
      </c>
      <c r="X30" s="42" t="str">
        <f>IF(AND($BR$10&gt;25,$BR$12&gt;42,$BR$12&lt;72.0625),3,"")</f>
        <v/>
      </c>
      <c r="Y30" s="32"/>
      <c r="Z30" s="42" t="str">
        <f>IF(AB4&lt;&gt;" "," ",IF(AND(BR10&gt;25,BR12&gt;42,BR12&lt;72.0625),(BR12-(railwidth*3))/2,""))</f>
        <v/>
      </c>
      <c r="AA30" s="42" t="str">
        <f>IF(AND($BR$10&gt;25,$BR$12&gt;42,$BR$12&lt;72.0625),3,"")</f>
        <v/>
      </c>
      <c r="AB30" s="42" t="str">
        <f>IF(AND($BR$10&gt;25,$BR$12&gt;42,$BR$12&lt;72.0625),3,"")</f>
        <v/>
      </c>
      <c r="AC30" s="42" t="str">
        <f>IF(AND($BR$10&gt;25,$BR$12&gt;42,$BR$12&lt;72.0625),3,"")</f>
        <v/>
      </c>
      <c r="AD30" s="42" t="str">
        <f>IF(AND($BR$10&gt;25,$BR$12&gt;42,$BR$12&lt;72.0625),3,"")</f>
        <v/>
      </c>
      <c r="AE30" s="43" t="str">
        <f t="shared" si="10"/>
        <v/>
      </c>
      <c r="AF30" s="38"/>
      <c r="AH30" s="40"/>
      <c r="AJ30" s="40"/>
      <c r="AK30" s="6"/>
      <c r="AL30" s="6"/>
      <c r="AM30" s="6"/>
      <c r="AN30" s="51"/>
      <c r="AO30" s="43"/>
      <c r="AP30" s="33" t="str">
        <f>IF(AB4&lt;&gt;" "," ",IF(AND(BR10&lt;25.0625,BR12&gt;72),railwidth,""))</f>
        <v/>
      </c>
      <c r="AQ30" s="34"/>
      <c r="AR30" s="34"/>
      <c r="AS30" s="34"/>
      <c r="AT30" s="37"/>
      <c r="AU30" s="43"/>
      <c r="AV30" s="38"/>
      <c r="AX30" s="40"/>
      <c r="AZ30" s="40"/>
      <c r="BC30" s="51"/>
      <c r="BD30" s="43"/>
      <c r="BE30" s="33" t="str">
        <f>IF(AB4&lt;&gt;" "," ",IF(AND(BR10&gt;25,BR12&gt;72),railwidth,""))</f>
        <v/>
      </c>
      <c r="BF30" s="34"/>
      <c r="BG30" s="34"/>
      <c r="BH30" s="34"/>
      <c r="BI30" s="34"/>
      <c r="BJ30" s="35"/>
      <c r="BK30" s="35"/>
      <c r="BL30" s="35"/>
      <c r="BM30" s="35"/>
      <c r="BN30" s="35"/>
      <c r="BO30" s="36"/>
      <c r="BP30" s="43" t="e">
        <f>IF(AND(#REF!&gt;25,#REF!&gt;72),(#REF!-9)/2,"")</f>
        <v>#REF!</v>
      </c>
      <c r="BQ30" s="38"/>
      <c r="BS30" s="40"/>
      <c r="BU30" s="40"/>
    </row>
    <row r="31" spans="2:97" ht="14.25" customHeight="1" x14ac:dyDescent="0.25">
      <c r="B31" s="51"/>
      <c r="C31" s="43" t="str">
        <f t="shared" si="7"/>
        <v/>
      </c>
      <c r="J31" s="43" t="str">
        <f t="shared" si="8"/>
        <v/>
      </c>
      <c r="K31" s="38"/>
      <c r="M31" s="40" t="str">
        <f t="shared" si="9"/>
        <v/>
      </c>
      <c r="O31" s="40" t="str">
        <f t="shared" si="5"/>
        <v/>
      </c>
      <c r="R31" s="51"/>
      <c r="S31" s="43"/>
      <c r="Y31" s="32"/>
      <c r="AE31" s="43" t="str">
        <f t="shared" si="10"/>
        <v/>
      </c>
      <c r="AF31" s="38"/>
      <c r="AH31" s="40"/>
      <c r="AJ31" s="40"/>
      <c r="AK31" s="6"/>
      <c r="AL31" s="6"/>
      <c r="AM31" s="6"/>
      <c r="AN31" s="51"/>
      <c r="AO31" s="43"/>
      <c r="AU31" s="43"/>
      <c r="AV31" s="38"/>
      <c r="AX31" s="40"/>
      <c r="AZ31" s="40"/>
      <c r="BC31" s="51"/>
      <c r="BD31" s="43"/>
      <c r="BJ31" s="31" t="str">
        <f>IF(AB4&lt;&gt;" "," ",IF(AND(BR10&gt;25,BR12&gt;72),stilewidth,""))</f>
        <v/>
      </c>
      <c r="BP31" s="43" t="e">
        <f>IF(AND(#REF!&gt;25,#REF!&gt;72),(#REF!-9)/2,"")</f>
        <v>#REF!</v>
      </c>
      <c r="BQ31" s="38"/>
      <c r="BS31" s="40"/>
      <c r="BU31" s="40"/>
    </row>
    <row r="32" spans="2:97" ht="14.25" customHeight="1" thickBot="1" x14ac:dyDescent="0.3">
      <c r="B32" s="51"/>
      <c r="C32" s="43" t="str">
        <f t="shared" si="7"/>
        <v/>
      </c>
      <c r="J32" s="43" t="str">
        <f t="shared" si="8"/>
        <v/>
      </c>
      <c r="K32" s="38"/>
      <c r="M32" s="40" t="str">
        <f t="shared" si="9"/>
        <v/>
      </c>
      <c r="O32" s="40" t="str">
        <f t="shared" si="5"/>
        <v/>
      </c>
      <c r="R32" s="51"/>
      <c r="S32" s="43"/>
      <c r="Y32" s="32"/>
      <c r="AE32" s="43" t="str">
        <f t="shared" si="10"/>
        <v/>
      </c>
      <c r="AF32" s="38"/>
      <c r="AH32" s="40"/>
      <c r="AJ32" s="40"/>
      <c r="AK32" s="6"/>
      <c r="AL32" s="6"/>
      <c r="AM32" s="6"/>
      <c r="AN32" s="51"/>
      <c r="AO32" s="43"/>
      <c r="AP32" s="30" t="str">
        <f>IF(AB4&lt;&gt;" "," ",IF(AND(BR10&lt;25.0625,BR12&gt;72),BR10-(stilewidth*2),""))</f>
        <v/>
      </c>
      <c r="AQ32" s="30"/>
      <c r="AR32" s="30"/>
      <c r="AS32" s="30"/>
      <c r="AT32" s="30"/>
      <c r="AU32" s="43"/>
      <c r="AV32" s="38"/>
      <c r="AX32" s="40"/>
      <c r="AZ32" s="40"/>
      <c r="BC32" s="51"/>
      <c r="BD32" s="43"/>
      <c r="BE32" s="30" t="str">
        <f>IF(AB4&lt;&gt;" "," ",IF(AND(BR10&gt;25,BR12&gt;72),(BR10-(stilewidth*3))/2,""))</f>
        <v/>
      </c>
      <c r="BF32" s="30"/>
      <c r="BG32" s="30"/>
      <c r="BH32" s="30"/>
      <c r="BI32" s="30"/>
      <c r="BJ32" s="32"/>
      <c r="BK32" s="30" t="str">
        <f>IF(AB4&lt;&gt;" "," ",IF(AND(BR10&gt;25,BR12&gt;72),(BR10-(stilewidth*3))/2,""))</f>
        <v/>
      </c>
      <c r="BL32" s="30"/>
      <c r="BM32" s="30"/>
      <c r="BN32" s="30"/>
      <c r="BO32" s="30"/>
      <c r="BP32" s="43" t="e">
        <f>IF(AND(#REF!&gt;25,#REF!&gt;72),(#REF!-9)/2,"")</f>
        <v>#REF!</v>
      </c>
      <c r="BQ32" s="38"/>
      <c r="BS32" s="40"/>
      <c r="BU32" s="40"/>
      <c r="BV32" s="6"/>
    </row>
    <row r="33" spans="2:74" ht="14.25" customHeight="1" thickBot="1" x14ac:dyDescent="0.3">
      <c r="B33" s="51"/>
      <c r="C33" s="43" t="str">
        <f t="shared" si="7"/>
        <v/>
      </c>
      <c r="D33" s="33" t="str">
        <f>IF(AB4&lt;&gt;" "," ",IF(AND(BR10&lt;25.0625,BR12&gt;42,BR12&lt;72.0625),railwidth,""))</f>
        <v/>
      </c>
      <c r="E33" s="34" t="str">
        <f>IF(AND($BR$10&lt;25.0625,$BR$12&gt;42,$BR$12&lt;72.0625),3,"")</f>
        <v/>
      </c>
      <c r="F33" s="34" t="str">
        <f>IF(AND($BR$10&lt;25.0625,$BR$12&gt;42,$BR$12&lt;72.0625),3,"")</f>
        <v/>
      </c>
      <c r="G33" s="34" t="str">
        <f>IF(AND($BR$10&lt;25.0625,$BR$12&gt;42,$BR$12&lt;72.0625),3,"")</f>
        <v/>
      </c>
      <c r="H33" s="34" t="str">
        <f>IF(AND($BR$10&lt;25.0625,$BR$12&gt;42,$BR$12&lt;72.0625),3,"")</f>
        <v/>
      </c>
      <c r="I33" s="37" t="str">
        <f>IF(AND($BR$10&lt;25.0625,$BR$12&gt;42,$BR$12&lt;72.0625),3,"")</f>
        <v/>
      </c>
      <c r="J33" s="43" t="str">
        <f t="shared" si="8"/>
        <v/>
      </c>
      <c r="K33" s="38"/>
      <c r="M33" s="40" t="str">
        <f t="shared" si="9"/>
        <v/>
      </c>
      <c r="O33" s="40" t="str">
        <f t="shared" si="5"/>
        <v/>
      </c>
      <c r="R33" s="51"/>
      <c r="S33" s="43"/>
      <c r="T33" s="33" t="str">
        <f>IF(AB4&lt;&gt;" "," ",IF(AND(BR10&gt;25,BR12&gt;42,BR12&lt;72.0625),railwidth,""))</f>
        <v/>
      </c>
      <c r="U33" s="34" t="str">
        <f>IF(AND($BR$10&gt;25,$BR$12&gt;42,$BR$12&lt;72.0625),3,"")</f>
        <v/>
      </c>
      <c r="V33" s="34" t="str">
        <f>IF(AND($BR$10&gt;25,$BR$12&gt;42,$BR$12&lt;72.0625),3,"")</f>
        <v/>
      </c>
      <c r="W33" s="34" t="str">
        <f>IF(AND($BR$10&gt;25,$BR$12&gt;42,$BR$12&lt;72.0625),3,"")</f>
        <v/>
      </c>
      <c r="X33" s="34" t="str">
        <f>IF(AND($BR$10&gt;25,$BR$12&gt;42,$BR$12&lt;72.0625),3,"")</f>
        <v/>
      </c>
      <c r="Y33" s="35"/>
      <c r="Z33" s="35"/>
      <c r="AA33" s="35"/>
      <c r="AB33" s="35"/>
      <c r="AC33" s="35"/>
      <c r="AD33" s="36"/>
      <c r="AE33" s="43" t="str">
        <f t="shared" si="10"/>
        <v/>
      </c>
      <c r="AF33" s="38"/>
      <c r="AH33" s="40"/>
      <c r="AJ33" s="40"/>
      <c r="AK33" s="6"/>
      <c r="AL33" s="6"/>
      <c r="AM33" s="6"/>
      <c r="AN33" s="51"/>
      <c r="AO33" s="43"/>
      <c r="AU33" s="43"/>
      <c r="AV33" s="38"/>
      <c r="AX33" s="40"/>
      <c r="AZ33" s="40"/>
      <c r="BC33" s="51"/>
      <c r="BD33" s="43"/>
      <c r="BJ33" s="32"/>
      <c r="BP33" s="43" t="e">
        <f>IF(AND(#REF!&gt;25,CF25&gt;72),(#REF!-9)/2,"")</f>
        <v>#REF!</v>
      </c>
      <c r="BQ33" s="38"/>
      <c r="BS33" s="40"/>
      <c r="BU33" s="40"/>
      <c r="BV33" s="6"/>
    </row>
    <row r="34" spans="2:74" ht="14.25" customHeight="1" x14ac:dyDescent="0.25">
      <c r="B34" s="51"/>
      <c r="C34" s="43" t="str">
        <f t="shared" si="7"/>
        <v/>
      </c>
      <c r="J34" s="43" t="str">
        <f t="shared" si="8"/>
        <v/>
      </c>
      <c r="K34" s="38"/>
      <c r="M34" s="40" t="str">
        <f t="shared" si="9"/>
        <v/>
      </c>
      <c r="O34" s="40" t="str">
        <f t="shared" si="5"/>
        <v/>
      </c>
      <c r="R34" s="51"/>
      <c r="S34" s="43"/>
      <c r="Y34" s="43" t="str">
        <f>IF(AB4&lt;&gt;" "," ",IF(AND($BR$10&gt;25,$BR$12&gt;42,$BR$12&lt;72.0625),stilewidth,""))</f>
        <v/>
      </c>
      <c r="AE34" s="43" t="str">
        <f t="shared" si="10"/>
        <v/>
      </c>
      <c r="AF34" s="38"/>
      <c r="AH34" s="40"/>
      <c r="AJ34" s="40"/>
      <c r="AK34" s="6"/>
      <c r="AL34" s="6"/>
      <c r="AM34" s="6"/>
      <c r="AN34" s="51"/>
      <c r="AO34" s="43"/>
      <c r="AP34" s="42" t="str">
        <f>IF(AB4&lt;&gt;" "," ",IF(AND(BR10&lt;25.0625,BR12&gt;72),(BR12-(railwidth*4))/3,""))</f>
        <v/>
      </c>
      <c r="AQ34" s="42"/>
      <c r="AR34" s="42"/>
      <c r="AS34" s="42"/>
      <c r="AT34" s="42"/>
      <c r="AU34" s="43"/>
      <c r="AV34" s="38"/>
      <c r="AX34" s="40"/>
      <c r="AZ34" s="40"/>
      <c r="BC34" s="51"/>
      <c r="BD34" s="43"/>
      <c r="BE34" s="42" t="str">
        <f>IF(AB4&lt;&gt;" "," ",IF(AND(BR10&gt;25,BR12&gt;72),(BR12-(railwidth*4))/3,""))</f>
        <v/>
      </c>
      <c r="BF34" s="42"/>
      <c r="BG34" s="42"/>
      <c r="BH34" s="42"/>
      <c r="BI34" s="42"/>
      <c r="BJ34" s="32"/>
      <c r="BK34" s="42" t="str">
        <f>IF(AB4&lt;&gt;" "," ",IF(AND(BR10&gt;25,BR12&gt;72),(BR12-(railwidth*4))/3,""))</f>
        <v/>
      </c>
      <c r="BL34" s="42"/>
      <c r="BM34" s="42"/>
      <c r="BN34" s="42"/>
      <c r="BO34" s="42"/>
      <c r="BP34" s="43" t="str">
        <f>IF(AND(CF25&gt;25,CF26&gt;72),(#REF!-9)/2,"")</f>
        <v/>
      </c>
      <c r="BQ34" s="38"/>
      <c r="BS34" s="40"/>
      <c r="BU34" s="40"/>
      <c r="BV34" s="6"/>
    </row>
    <row r="35" spans="2:74" ht="14.25" customHeight="1" thickBot="1" x14ac:dyDescent="0.3">
      <c r="B35" s="51"/>
      <c r="C35" s="43" t="str">
        <f t="shared" si="7"/>
        <v/>
      </c>
      <c r="D35" s="30" t="str">
        <f>IF(AB4&lt;&gt;" "," ",IF(AND(BR10&lt;25.0625,BR12&gt;42,BR12&lt;72.0625),BR10-(stilewidth*2),""))</f>
        <v/>
      </c>
      <c r="E35" s="30" t="str">
        <f>IF(AND($BR$10&lt;25.0625,$BR$12&gt;42,$BR$12&lt;72.0625),3,"")</f>
        <v/>
      </c>
      <c r="F35" s="30" t="str">
        <f>IF(AND($BR$10&lt;25.0625,$BR$12&gt;42,$BR$12&lt;72.0625),3,"")</f>
        <v/>
      </c>
      <c r="G35" s="30" t="str">
        <f>IF(AND($BR$10&lt;25.0625,$BR$12&gt;42,$BR$12&lt;72.0625),3,"")</f>
        <v/>
      </c>
      <c r="H35" s="30" t="str">
        <f>IF(AND($BR$10&lt;25.0625,$BR$12&gt;42,$BR$12&lt;72.0625),3,"")</f>
        <v/>
      </c>
      <c r="I35" s="30" t="str">
        <f>IF(AND($BR$10&lt;25.0625,$BR$12&gt;42,$BR$12&lt;72.0625),3,"")</f>
        <v/>
      </c>
      <c r="J35" s="43" t="str">
        <f t="shared" si="8"/>
        <v/>
      </c>
      <c r="K35" s="38"/>
      <c r="M35" s="40" t="str">
        <f t="shared" si="9"/>
        <v/>
      </c>
      <c r="O35" s="40" t="str">
        <f t="shared" si="5"/>
        <v/>
      </c>
      <c r="R35" s="51"/>
      <c r="S35" s="43"/>
      <c r="T35" s="30" t="str">
        <f>IF(AB4&lt;&gt;" "," ",IF(AND(BR10&gt;25,BR12&gt;42,BR12&lt;72.0625),(BR10-(stilewidth*3))/2,""))</f>
        <v/>
      </c>
      <c r="U35" s="30" t="str">
        <f>IF(AND($BR$10&gt;25,$BR$12&gt;42,$BR$12&lt;72.0625),3,"")</f>
        <v/>
      </c>
      <c r="V35" s="30" t="str">
        <f>IF(AND($BR$10&gt;25,$BR$12&gt;42,$BR$12&lt;72.0625),3,"")</f>
        <v/>
      </c>
      <c r="W35" s="30" t="str">
        <f>IF(AND($BR$10&gt;25,$BR$12&gt;42,$BR$12&lt;72.0625),3,"")</f>
        <v/>
      </c>
      <c r="X35" s="30" t="str">
        <f>IF(AND($BR$10&gt;25,$BR$12&gt;42,$BR$12&lt;72.0625),3,"")</f>
        <v/>
      </c>
      <c r="Y35" s="32"/>
      <c r="Z35" s="30" t="str">
        <f>IF(AB4&lt;&gt;" "," ",IF(AND(BR10&gt;25,BR12&gt;42,BR12&lt;72.0625),(BR10-(stilewidth*3))/2,""))</f>
        <v/>
      </c>
      <c r="AA35" s="30" t="str">
        <f>IF(AND($BR$10&gt;25,$BR$12&gt;42,$BR$12&lt;72.0625),3,"")</f>
        <v/>
      </c>
      <c r="AB35" s="30" t="str">
        <f>IF(AND($BR$10&gt;25,$BR$12&gt;42,$BR$12&lt;72.0625),3,"")</f>
        <v/>
      </c>
      <c r="AC35" s="30" t="str">
        <f>IF(AND($BR$10&gt;25,$BR$12&gt;42,$BR$12&lt;72.0625),3,"")</f>
        <v/>
      </c>
      <c r="AD35" s="30" t="str">
        <f>IF(AND($BR$10&gt;25,$BR$12&gt;42,$BR$12&lt;72.0625),3,"")</f>
        <v/>
      </c>
      <c r="AE35" s="43" t="str">
        <f t="shared" si="10"/>
        <v/>
      </c>
      <c r="AF35" s="38"/>
      <c r="AH35" s="40"/>
      <c r="AJ35" s="40"/>
      <c r="AK35" s="6"/>
      <c r="AL35" s="6"/>
      <c r="AM35" s="6"/>
      <c r="AN35" s="51"/>
      <c r="AO35" s="43"/>
      <c r="AU35" s="43"/>
      <c r="AV35" s="38"/>
      <c r="AX35" s="40"/>
      <c r="AZ35" s="40"/>
      <c r="BC35" s="51"/>
      <c r="BD35" s="43"/>
      <c r="BJ35" s="48"/>
      <c r="BP35" s="43" t="str">
        <f>IF(AND(CF26&gt;25,CF27&gt;72),(#REF!-9)/2,"")</f>
        <v/>
      </c>
      <c r="BQ35" s="38"/>
      <c r="BS35" s="40"/>
      <c r="BU35" s="40"/>
      <c r="BV35" s="6"/>
    </row>
    <row r="36" spans="2:74" ht="14.25" customHeight="1" thickBot="1" x14ac:dyDescent="0.3">
      <c r="B36" s="51"/>
      <c r="C36" s="43" t="str">
        <f t="shared" si="7"/>
        <v/>
      </c>
      <c r="D36" s="1" t="s">
        <v>45</v>
      </c>
      <c r="J36" s="43" t="str">
        <f t="shared" si="8"/>
        <v/>
      </c>
      <c r="K36" s="38"/>
      <c r="M36" s="40" t="str">
        <f t="shared" si="9"/>
        <v/>
      </c>
      <c r="O36" s="40" t="str">
        <f t="shared" si="5"/>
        <v/>
      </c>
      <c r="R36" s="51"/>
      <c r="S36" s="43"/>
      <c r="Y36" s="32"/>
      <c r="AE36" s="43" t="str">
        <f t="shared" si="10"/>
        <v/>
      </c>
      <c r="AF36" s="38"/>
      <c r="AH36" s="40"/>
      <c r="AJ36" s="40"/>
      <c r="AK36" s="6"/>
      <c r="AL36" s="6"/>
      <c r="AM36" s="6"/>
      <c r="AN36" s="51"/>
      <c r="AO36" s="50"/>
      <c r="AP36" s="33" t="str">
        <f>IF(AB4&lt;&gt;" "," ",IF(AND(BR10&lt;25.0625,BR12&gt;72),railwidth,""))</f>
        <v/>
      </c>
      <c r="AQ36" s="34"/>
      <c r="AR36" s="34"/>
      <c r="AS36" s="34"/>
      <c r="AT36" s="37"/>
      <c r="AU36" s="50"/>
      <c r="AV36" s="38"/>
      <c r="AX36" s="41"/>
      <c r="AZ36" s="40"/>
      <c r="BC36" s="51"/>
      <c r="BD36" s="50"/>
      <c r="BE36" s="33" t="str">
        <f>IF(AB4&lt;&gt;" "," ",IF(AND(BR10&gt;25,BR12&gt;72),railwidth,""))</f>
        <v/>
      </c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50" t="str">
        <f>IF(AND(CF27&gt;25,CF28&gt;72),(#REF!-9)/2,"")</f>
        <v/>
      </c>
      <c r="BQ36" s="38"/>
      <c r="BS36" s="41"/>
      <c r="BU36" s="40"/>
      <c r="BV36" s="6"/>
    </row>
    <row r="37" spans="2:74" ht="14.25" customHeight="1" x14ac:dyDescent="0.25">
      <c r="B37" s="51"/>
      <c r="C37" s="43" t="str">
        <f t="shared" si="7"/>
        <v/>
      </c>
      <c r="D37" s="42" t="str">
        <f>IF(AB4&lt;&gt;" "," ",IF(AND(BR10&lt;25.0625,BR12&gt;42,BR12&lt;72.0625),(BR12-(railwidth*3))/2,""))</f>
        <v/>
      </c>
      <c r="E37" s="42" t="str">
        <f>IF(AND($BR$10&lt;25.0625,$BR$12&gt;42,$BR$12&lt;72.0625),3,"")</f>
        <v/>
      </c>
      <c r="F37" s="42" t="str">
        <f>IF(AND($BR$10&lt;25.0625,$BR$12&gt;42,$BR$12&lt;72.0625),3,"")</f>
        <v/>
      </c>
      <c r="G37" s="42" t="str">
        <f>IF(AND($BR$10&lt;25.0625,$BR$12&gt;42,$BR$12&lt;72.0625),3,"")</f>
        <v/>
      </c>
      <c r="H37" s="42" t="str">
        <f>IF(AND($BR$10&lt;25.0625,$BR$12&gt;42,$BR$12&lt;72.0625),3,"")</f>
        <v/>
      </c>
      <c r="I37" s="42" t="str">
        <f>IF(AND($BR$10&lt;25.0625,$BR$12&gt;42,$BR$12&lt;72.0625),3,"")</f>
        <v/>
      </c>
      <c r="J37" s="43" t="str">
        <f t="shared" si="8"/>
        <v/>
      </c>
      <c r="K37" s="38"/>
      <c r="M37" s="40" t="str">
        <f t="shared" si="9"/>
        <v/>
      </c>
      <c r="O37" s="40" t="str">
        <f t="shared" si="5"/>
        <v/>
      </c>
      <c r="R37" s="51"/>
      <c r="S37" s="43"/>
      <c r="T37" s="42" t="str">
        <f>IF(AB4&lt;&gt;" "," ",IF(AND(BR10&gt;25,BR12&gt;42,BR12&lt;72.0625),(BR12-(railwidth*3))/2,""))</f>
        <v/>
      </c>
      <c r="U37" s="42" t="str">
        <f>IF(AND($BR$10&gt;25,$BR$12&gt;42,$BR$12&lt;72.0625),3,"")</f>
        <v/>
      </c>
      <c r="V37" s="42" t="str">
        <f>IF(AND($BR$10&gt;25,$BR$12&gt;42,$BR$12&lt;72.0625),3,"")</f>
        <v/>
      </c>
      <c r="W37" s="42" t="str">
        <f>IF(AND($BR$10&gt;25,$BR$12&gt;42,$BR$12&lt;72.0625),3,"")</f>
        <v/>
      </c>
      <c r="X37" s="42" t="str">
        <f>IF(AND($BR$10&gt;25,$BR$12&gt;42,$BR$12&lt;72.0625),3,"")</f>
        <v/>
      </c>
      <c r="Y37" s="32"/>
      <c r="Z37" s="42" t="str">
        <f>IF(AB4&lt;&gt;" "," ",IF(AND(BR10&gt;25,BR12&gt;42,BR12&lt;72.0625),(BR12-(railwidth*3))/2,""))</f>
        <v/>
      </c>
      <c r="AA37" s="42" t="str">
        <f>IF(AND($BR$10&gt;25,$BR$12&gt;42,$BR$12&lt;72.0625),3,"")</f>
        <v/>
      </c>
      <c r="AB37" s="42" t="str">
        <f>IF(AND($BR$10&gt;25,$BR$12&gt;42,$BR$12&lt;72.0625),3,"")</f>
        <v/>
      </c>
      <c r="AC37" s="42" t="str">
        <f>IF(AND($BR$10&gt;25,$BR$12&gt;42,$BR$12&lt;72.0625),3,"")</f>
        <v/>
      </c>
      <c r="AD37" s="42" t="str">
        <f>IF(AND($BR$10&gt;25,$BR$12&gt;42,$BR$12&lt;72.0625),3,"")</f>
        <v/>
      </c>
      <c r="AE37" s="43" t="str">
        <f t="shared" si="10"/>
        <v/>
      </c>
      <c r="AF37" s="38"/>
      <c r="AH37" s="40"/>
      <c r="AJ37" s="40"/>
      <c r="AK37" s="6"/>
      <c r="AL37" s="6"/>
      <c r="AM37" s="6"/>
      <c r="AN37" s="10"/>
      <c r="AO37" s="49" t="str">
        <f>AO17</f>
        <v/>
      </c>
      <c r="AP37" s="49"/>
      <c r="AQ37" s="49"/>
      <c r="AR37" s="49"/>
      <c r="AS37" s="49"/>
      <c r="AT37" s="49"/>
      <c r="AU37" s="49"/>
      <c r="AV37" s="11"/>
      <c r="AZ37" s="41"/>
      <c r="BC37" s="10"/>
      <c r="BD37" s="49" t="str">
        <f>BD17</f>
        <v/>
      </c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11"/>
      <c r="BU37" s="41"/>
      <c r="BV37" s="6"/>
    </row>
    <row r="38" spans="2:74" ht="14.25" customHeight="1" x14ac:dyDescent="0.25">
      <c r="B38" s="51"/>
      <c r="C38" s="43" t="str">
        <f t="shared" si="7"/>
        <v/>
      </c>
      <c r="J38" s="43" t="str">
        <f t="shared" si="8"/>
        <v/>
      </c>
      <c r="K38" s="38"/>
      <c r="M38" s="40" t="str">
        <f t="shared" si="9"/>
        <v/>
      </c>
      <c r="O38" s="40" t="str">
        <f t="shared" si="5"/>
        <v/>
      </c>
      <c r="R38" s="51"/>
      <c r="S38" s="43"/>
      <c r="Y38" s="32"/>
      <c r="AE38" s="43" t="str">
        <f t="shared" si="10"/>
        <v/>
      </c>
      <c r="AF38" s="38"/>
      <c r="AH38" s="40"/>
      <c r="AJ38" s="40"/>
      <c r="AK38" s="6"/>
      <c r="AL38" s="6"/>
      <c r="AM38" s="6"/>
      <c r="BS38" s="2"/>
      <c r="BV38" s="6"/>
    </row>
    <row r="39" spans="2:74" ht="14.25" customHeight="1" thickBot="1" x14ac:dyDescent="0.3">
      <c r="B39" s="51"/>
      <c r="C39" s="43" t="str">
        <f t="shared" si="7"/>
        <v/>
      </c>
      <c r="J39" s="43" t="str">
        <f t="shared" si="8"/>
        <v/>
      </c>
      <c r="K39" s="38"/>
      <c r="M39" s="40" t="str">
        <f t="shared" si="9"/>
        <v/>
      </c>
      <c r="O39" s="40" t="str">
        <f t="shared" si="5"/>
        <v/>
      </c>
      <c r="R39" s="51"/>
      <c r="S39" s="43"/>
      <c r="Y39" s="48"/>
      <c r="AE39" s="43" t="str">
        <f t="shared" si="10"/>
        <v/>
      </c>
      <c r="AF39" s="38"/>
      <c r="AH39" s="40"/>
      <c r="AJ39" s="40"/>
      <c r="AK39" s="6"/>
      <c r="AL39" s="6"/>
      <c r="AM39" s="6"/>
      <c r="AO39" s="45" t="str">
        <f>IF(AB4&lt;&gt;" "," ",IF(AND(BR10&lt;25.0625,BR12&gt;72),BR10,""))</f>
        <v/>
      </c>
      <c r="AP39" s="46"/>
      <c r="AQ39" s="46"/>
      <c r="AR39" s="46"/>
      <c r="AS39" s="46"/>
      <c r="AT39" s="46"/>
      <c r="AU39" s="47"/>
      <c r="BD39" s="45" t="str">
        <f>IF(AB4&lt;&gt;" "," ",IF(AND(BR10&gt;25,BR12&gt;72),BR10,""))</f>
        <v/>
      </c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7"/>
      <c r="BV39" s="6"/>
    </row>
    <row r="40" spans="2:74" ht="14.25" customHeight="1" thickBot="1" x14ac:dyDescent="0.3">
      <c r="B40" s="51"/>
      <c r="C40" s="50" t="str">
        <f t="shared" si="7"/>
        <v/>
      </c>
      <c r="D40" s="33" t="str">
        <f>IF(AB4&lt;&gt;" "," ",IF(AND(BR10&lt;25.0625,BR12&gt;42,BR12&lt;72.0625),railwidth,""))</f>
        <v/>
      </c>
      <c r="E40" s="34" t="str">
        <f>IF(AND($BR$10&lt;25.0625,$BR$12&gt;42,$BR$12&lt;72.0625),3,"")</f>
        <v/>
      </c>
      <c r="F40" s="34" t="str">
        <f>IF(AND($BR$10&lt;25.0625,$BR$12&gt;42,$BR$12&lt;72.0625),3,"")</f>
        <v/>
      </c>
      <c r="G40" s="34" t="str">
        <f>IF(AND($BR$10&lt;25.0625,$BR$12&gt;42,$BR$12&lt;72.0625),3,"")</f>
        <v/>
      </c>
      <c r="H40" s="34" t="str">
        <f>IF(AND($BR$10&lt;25.0625,$BR$12&gt;42,$BR$12&lt;72.0625),3,"")</f>
        <v/>
      </c>
      <c r="I40" s="37" t="str">
        <f>IF(AND($BR$10&lt;25.0625,$BR$12&gt;42,$BR$12&lt;72.0625),3,"")</f>
        <v/>
      </c>
      <c r="J40" s="50" t="str">
        <f t="shared" si="8"/>
        <v/>
      </c>
      <c r="K40" s="38"/>
      <c r="M40" s="41" t="str">
        <f t="shared" si="9"/>
        <v/>
      </c>
      <c r="O40" s="40" t="str">
        <f t="shared" si="5"/>
        <v/>
      </c>
      <c r="R40" s="51"/>
      <c r="S40" s="50"/>
      <c r="T40" s="33" t="str">
        <f>IF(AB4&lt;&gt;" "," ",IF(AND(BR10&gt;25,BR12&gt;42,BR12&lt;72.0625),railwidth,""))</f>
        <v/>
      </c>
      <c r="U40" s="34" t="str">
        <f t="shared" ref="U40:AD40" si="11">IF(AND($BR$10&gt;25,$BR$12&gt;42,$BR$12&lt;72.0625),3,"")</f>
        <v/>
      </c>
      <c r="V40" s="34" t="str">
        <f t="shared" si="11"/>
        <v/>
      </c>
      <c r="W40" s="34" t="str">
        <f t="shared" si="11"/>
        <v/>
      </c>
      <c r="X40" s="34" t="str">
        <f t="shared" si="11"/>
        <v/>
      </c>
      <c r="Y40" s="34" t="str">
        <f t="shared" si="11"/>
        <v/>
      </c>
      <c r="Z40" s="34" t="str">
        <f t="shared" si="11"/>
        <v/>
      </c>
      <c r="AA40" s="34" t="str">
        <f t="shared" si="11"/>
        <v/>
      </c>
      <c r="AB40" s="34" t="str">
        <f t="shared" si="11"/>
        <v/>
      </c>
      <c r="AC40" s="34" t="str">
        <f t="shared" si="11"/>
        <v/>
      </c>
      <c r="AD40" s="37" t="str">
        <f t="shared" si="11"/>
        <v/>
      </c>
      <c r="AE40" s="50" t="str">
        <f t="shared" si="10"/>
        <v/>
      </c>
      <c r="AF40" s="38"/>
      <c r="AH40" s="41"/>
      <c r="AJ40" s="40"/>
      <c r="AK40" s="6"/>
      <c r="AL40" s="6"/>
      <c r="AM40" s="6"/>
      <c r="AO40" s="2"/>
      <c r="AP40" s="2"/>
      <c r="AQ40" s="2"/>
      <c r="AR40" s="2"/>
      <c r="AS40" s="2"/>
      <c r="AT40" s="2"/>
      <c r="AU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V40" s="6"/>
    </row>
    <row r="41" spans="2:74" ht="14.25" customHeight="1" x14ac:dyDescent="0.25">
      <c r="B41" s="10"/>
      <c r="C41" s="49" t="str">
        <f>C25</f>
        <v/>
      </c>
      <c r="D41" s="49"/>
      <c r="E41" s="49"/>
      <c r="F41" s="49"/>
      <c r="G41" s="49"/>
      <c r="H41" s="49"/>
      <c r="I41" s="49"/>
      <c r="J41" s="49"/>
      <c r="K41" s="11"/>
      <c r="O41" s="41" t="str">
        <f t="shared" si="5"/>
        <v/>
      </c>
      <c r="R41" s="10"/>
      <c r="S41" s="49" t="str">
        <f>S25</f>
        <v/>
      </c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11"/>
      <c r="AJ41" s="41"/>
      <c r="AK41" s="6"/>
      <c r="AL41" s="6"/>
      <c r="AM41" s="6"/>
      <c r="AN41" s="45" t="str">
        <f>IF(AB4&lt;&gt;" "," ",IF(AND(BR10&lt;25.0625,BR12&gt;72),BR5,""))</f>
        <v/>
      </c>
      <c r="AO41" s="46"/>
      <c r="AP41" s="46"/>
      <c r="AQ41" s="46"/>
      <c r="AR41" s="46"/>
      <c r="AS41" s="46"/>
      <c r="AT41" s="46"/>
      <c r="AU41" s="46"/>
      <c r="AV41" s="47"/>
      <c r="BC41" s="45" t="str">
        <f>IF(AB4&lt;&gt;" "," ",IF(AND(BR10&gt;25,BR12&gt;72),BR5,""))</f>
        <v/>
      </c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7"/>
      <c r="BV41" s="6"/>
    </row>
    <row r="42" spans="2:74" ht="14.25" customHeight="1" x14ac:dyDescent="0.25">
      <c r="AH42" s="2"/>
    </row>
    <row r="43" spans="2:74" ht="14.25" customHeight="1" x14ac:dyDescent="0.25">
      <c r="C43" s="45" t="str">
        <f>IF(AB4&lt;&gt;" "," ",IF(AND(BR10&lt;25.0625,BR12&gt;42.0625,BR12&lt;72.0625),BR10,""))</f>
        <v/>
      </c>
      <c r="D43" s="46"/>
      <c r="E43" s="46"/>
      <c r="F43" s="46"/>
      <c r="G43" s="46"/>
      <c r="H43" s="46"/>
      <c r="I43" s="46"/>
      <c r="J43" s="47"/>
      <c r="M43" s="2"/>
      <c r="P43" s="15"/>
      <c r="S43" s="45" t="str">
        <f>IF(AB4&lt;&gt;" "," ",IF(AND(BR10&gt;25,BR12&gt;42,BR12&lt;72.0625),BR10,""))</f>
        <v/>
      </c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7"/>
      <c r="AH43" s="16"/>
      <c r="AI43" s="16"/>
      <c r="AJ43" s="16"/>
      <c r="AK43" s="16"/>
      <c r="AL43" s="16"/>
    </row>
    <row r="44" spans="2:74" ht="14.25" customHeight="1" x14ac:dyDescent="0.25">
      <c r="C44" s="2"/>
      <c r="D44" s="2"/>
      <c r="E44" s="2"/>
      <c r="F44" s="2"/>
      <c r="G44" s="2"/>
      <c r="H44" s="2"/>
      <c r="I44" s="2"/>
      <c r="J44" s="2"/>
      <c r="M44" s="2"/>
      <c r="P44" s="15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2:74" ht="14.25" customHeight="1" x14ac:dyDescent="0.25">
      <c r="B45" s="45" t="str">
        <f>IF(AB4&lt;&gt;" "," ",IF(AND(BR10&lt;25.0625,BR12&gt;42,BR12&lt;72.0625),BR5,""))</f>
        <v/>
      </c>
      <c r="C45" s="46"/>
      <c r="D45" s="46"/>
      <c r="E45" s="46"/>
      <c r="F45" s="46"/>
      <c r="G45" s="46"/>
      <c r="H45" s="46"/>
      <c r="I45" s="46"/>
      <c r="J45" s="46"/>
      <c r="K45" s="47"/>
      <c r="M45" s="2"/>
      <c r="P45" s="15"/>
      <c r="R45" s="45" t="str">
        <f>IF(AB4&lt;&gt;" "," ",IF(AND(BR10&gt;25,BR12&gt;42,BR12&lt;72.0625),BR5,""))</f>
        <v/>
      </c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7"/>
    </row>
  </sheetData>
  <sheetProtection algorithmName="SHA-512" hashValue="fIvd8F+ywU67ptduXD1bzK/lAZnGtCi0Isg1ZBpDDGWhEO6XuJNhYHipn0NiFlwprGm7Z+HByWp4r2otyxJfBw==" saltValue="AZflCG3hDUimC4h3Hk/2eQ==" spinCount="100000" sheet="1" objects="1" scenarios="1"/>
  <mergeCells count="136">
    <mergeCell ref="BJ3:BV3"/>
    <mergeCell ref="B8:B17"/>
    <mergeCell ref="C8:C17"/>
    <mergeCell ref="D8:I8"/>
    <mergeCell ref="J8:J17"/>
    <mergeCell ref="K8:K17"/>
    <mergeCell ref="BJ10:BQ11"/>
    <mergeCell ref="BR10:BV11"/>
    <mergeCell ref="BJ12:BQ13"/>
    <mergeCell ref="BR12:BV13"/>
    <mergeCell ref="D17:I17"/>
    <mergeCell ref="T17:AD17"/>
    <mergeCell ref="BJ5:BQ6"/>
    <mergeCell ref="BR5:BV6"/>
    <mergeCell ref="D10:I10"/>
    <mergeCell ref="T10:X10"/>
    <mergeCell ref="Z10:AD10"/>
    <mergeCell ref="AP6:BF15"/>
    <mergeCell ref="BJ7:BQ8"/>
    <mergeCell ref="BR7:BV8"/>
    <mergeCell ref="BQ18:BQ36"/>
    <mergeCell ref="BS18:BS36"/>
    <mergeCell ref="BE20:BI20"/>
    <mergeCell ref="BK20:BO20"/>
    <mergeCell ref="BE28:BI28"/>
    <mergeCell ref="BD17:BP17"/>
    <mergeCell ref="BU17:BU37"/>
    <mergeCell ref="B22:K22"/>
    <mergeCell ref="R22:AF22"/>
    <mergeCell ref="AN18:AN36"/>
    <mergeCell ref="AO18:AO36"/>
    <mergeCell ref="AP18:AT18"/>
    <mergeCell ref="AU18:AU36"/>
    <mergeCell ref="AV18:AV36"/>
    <mergeCell ref="AX18:AX36"/>
    <mergeCell ref="C18:J18"/>
    <mergeCell ref="S18:AE18"/>
    <mergeCell ref="C20:J20"/>
    <mergeCell ref="S20:AE20"/>
    <mergeCell ref="AO17:AU17"/>
    <mergeCell ref="AZ17:AZ37"/>
    <mergeCell ref="AP20:AT20"/>
    <mergeCell ref="M8:M17"/>
    <mergeCell ref="S8:S17"/>
    <mergeCell ref="C25:J25"/>
    <mergeCell ref="AE8:AE17"/>
    <mergeCell ref="B26:B40"/>
    <mergeCell ref="C26:C40"/>
    <mergeCell ref="D26:I26"/>
    <mergeCell ref="J26:J40"/>
    <mergeCell ref="K26:K40"/>
    <mergeCell ref="M26:M40"/>
    <mergeCell ref="R26:R40"/>
    <mergeCell ref="S26:S40"/>
    <mergeCell ref="T26:AD26"/>
    <mergeCell ref="O25:O41"/>
    <mergeCell ref="S25:AE25"/>
    <mergeCell ref="D30:I30"/>
    <mergeCell ref="T30:X30"/>
    <mergeCell ref="Z30:AD30"/>
    <mergeCell ref="D13:I13"/>
    <mergeCell ref="T13:X13"/>
    <mergeCell ref="O7:O18"/>
    <mergeCell ref="S7:AE7"/>
    <mergeCell ref="C43:J43"/>
    <mergeCell ref="S43:AE43"/>
    <mergeCell ref="AO39:AU39"/>
    <mergeCell ref="BD39:BP39"/>
    <mergeCell ref="BJ19:BJ23"/>
    <mergeCell ref="BJ25:BJ29"/>
    <mergeCell ref="BE30:BO30"/>
    <mergeCell ref="BE24:BO24"/>
    <mergeCell ref="BK28:BO28"/>
    <mergeCell ref="BE22:BI22"/>
    <mergeCell ref="BK22:BO22"/>
    <mergeCell ref="BE26:BI26"/>
    <mergeCell ref="BK26:BO26"/>
    <mergeCell ref="AP28:AT28"/>
    <mergeCell ref="AJ25:AJ41"/>
    <mergeCell ref="BC18:BC36"/>
    <mergeCell ref="BD18:BD36"/>
    <mergeCell ref="BE18:BO18"/>
    <mergeCell ref="AP24:AT24"/>
    <mergeCell ref="BP18:BP36"/>
    <mergeCell ref="AJ7:AJ18"/>
    <mergeCell ref="T8:AD8"/>
    <mergeCell ref="AH8:AH17"/>
    <mergeCell ref="R9:R16"/>
    <mergeCell ref="B45:K45"/>
    <mergeCell ref="R45:AF45"/>
    <mergeCell ref="AN41:AV41"/>
    <mergeCell ref="BC41:BQ41"/>
    <mergeCell ref="Y34:Y39"/>
    <mergeCell ref="D40:I40"/>
    <mergeCell ref="T40:AD40"/>
    <mergeCell ref="AP36:AT36"/>
    <mergeCell ref="BE36:BO36"/>
    <mergeCell ref="C41:J41"/>
    <mergeCell ref="S41:AE41"/>
    <mergeCell ref="AO37:AU37"/>
    <mergeCell ref="BD37:BP37"/>
    <mergeCell ref="D37:I37"/>
    <mergeCell ref="T37:X37"/>
    <mergeCell ref="Z37:AD37"/>
    <mergeCell ref="AP34:AT34"/>
    <mergeCell ref="BE34:BI34"/>
    <mergeCell ref="BK34:BO34"/>
    <mergeCell ref="D35:I35"/>
    <mergeCell ref="BJ31:BJ35"/>
    <mergeCell ref="BE32:BI32"/>
    <mergeCell ref="BK32:BO32"/>
    <mergeCell ref="AE26:AE40"/>
    <mergeCell ref="E2:J2"/>
    <mergeCell ref="E3:J3"/>
    <mergeCell ref="P2:U2"/>
    <mergeCell ref="P3:U3"/>
    <mergeCell ref="V2:Y2"/>
    <mergeCell ref="V3:Y3"/>
    <mergeCell ref="T35:X35"/>
    <mergeCell ref="Z35:AD35"/>
    <mergeCell ref="AP32:AT32"/>
    <mergeCell ref="Y27:Y32"/>
    <mergeCell ref="T33:AD33"/>
    <mergeCell ref="D33:I33"/>
    <mergeCell ref="AP30:AT30"/>
    <mergeCell ref="D28:I28"/>
    <mergeCell ref="T28:X28"/>
    <mergeCell ref="Z28:AD28"/>
    <mergeCell ref="AP26:AT26"/>
    <mergeCell ref="AF26:AF40"/>
    <mergeCell ref="AH26:AH40"/>
    <mergeCell ref="AP22:AT22"/>
    <mergeCell ref="Y9:Y16"/>
    <mergeCell ref="AF9:AF16"/>
    <mergeCell ref="Z13:AD13"/>
    <mergeCell ref="C7:J7"/>
  </mergeCells>
  <dataValidations count="4">
    <dataValidation type="custom" allowBlank="1" showInputMessage="1" showErrorMessage="1" error="Minimum Value: 8-7/8&quot;_x000a_Maximum Value: 96&quot;_x000a__x000a_Value must be equal to or less than 1/4&quot; panel height" promptTitle="Applied Door Height" prompt="Minimum: 8-7/8&quot;_x000a_Maximum: 96&quot;_x000a__x000a_Value must be equal to or less than 1/4&quot; panel height" sqref="BR12:BV13" xr:uid="{982A13E0-A644-4150-97B1-584A702D77C1}">
      <formula1>AND(BR12&gt;=8.875,BR12&lt;=96,BR12&lt;=BR7)</formula1>
    </dataValidation>
    <dataValidation type="custom" allowBlank="1" showInputMessage="1" showErrorMessage="1" error="Minimum Value: 8-7/8&quot;_x000a_Maximum Value: 36&quot;_x000a__x000a_Value must be equal to or less than 1/4&quot; panel width" promptTitle="Applied Door Width" prompt="Minimum: 8-7/8&quot;_x000a_Maximum: 36&quot;_x000a__x000a_Value must be equal to or less than 1/4&quot; panel width" sqref="BR10:BV11" xr:uid="{0B7C7A48-DE4E-4C66-9803-BC01AE85ECF5}">
      <formula1>AND(BR10&gt;=8.875,BR10&lt;=36,BR10&lt;=BR5)</formula1>
    </dataValidation>
    <dataValidation type="custom" allowBlank="1" showInputMessage="1" showErrorMessage="1" error="Minimum Value:8-7/8&quot;_x000a_Maximum Value: 96&quot;_x000a__x000a_Value must be greater than or equal to applied door height" promptTitle="1/4&quot; Panel Height" prompt="Minimum: 8-7/8&quot;_x000a_Maximum: 96&quot;_x000a__x000a_Value must be greater than or equal to applied door height" sqref="BR7:BV8" xr:uid="{E4987447-63B1-4F1A-ADC8-ECDF68FF4DD1}">
      <formula1>AND(BR7&gt;=8.875,BR7&lt;=96,BR7&gt;=BR12)</formula1>
    </dataValidation>
    <dataValidation type="custom" allowBlank="1" showInputMessage="1" showErrorMessage="1" error="Minimum value: 8-7/8&quot;_x000a_Maximum Value: 48&quot;_x000a__x000a_Value must be greater than or equal to applied door width" promptTitle="1/4&quot; Panel Width" prompt="Minimum: 8-7/8&quot;_x000a_Maximum: 48&quot;_x000a__x000a_Value must be greater than or equal to applied door width" sqref="BR5:BV6" xr:uid="{DAD353BA-FA1D-483B-898A-844F0AE96F80}">
      <formula1>AND(BR5&gt;=8.875,BR5&lt;=48,BR5&gt;=BR10)</formula1>
    </dataValidation>
  </dataValidations>
  <pageMargins left="0.7" right="0.7" top="0.75" bottom="0.7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6B735C7-2D76-4A58-9FBF-9E053C287A67}">
          <x14:formula1>
            <xm:f>Table!$A$2:$A$20</xm:f>
          </x14:formula1>
          <xm:sqref>E3:J3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6577-3357-4A5B-B9E3-EB608595BEC9}">
  <dimension ref="A1:J20"/>
  <sheetViews>
    <sheetView workbookViewId="0">
      <selection activeCell="J16" sqref="J16"/>
    </sheetView>
  </sheetViews>
  <sheetFormatPr defaultRowHeight="15" x14ac:dyDescent="0.25"/>
  <sheetData>
    <row r="1" spans="1:10" x14ac:dyDescent="0.25">
      <c r="A1" s="17" t="s">
        <v>9</v>
      </c>
      <c r="B1" s="17" t="s">
        <v>10</v>
      </c>
      <c r="C1" s="17" t="s">
        <v>11</v>
      </c>
      <c r="D1" s="17" t="s">
        <v>12</v>
      </c>
      <c r="E1" s="17" t="s">
        <v>13</v>
      </c>
      <c r="F1" s="17" t="s">
        <v>14</v>
      </c>
      <c r="G1" s="17" t="s">
        <v>15</v>
      </c>
      <c r="H1" s="17" t="s">
        <v>16</v>
      </c>
      <c r="I1" s="17" t="s">
        <v>17</v>
      </c>
      <c r="J1" s="17" t="s">
        <v>18</v>
      </c>
    </row>
    <row r="2" spans="1:10" x14ac:dyDescent="0.25">
      <c r="A2" s="18" t="s">
        <v>19</v>
      </c>
      <c r="B2" s="18" t="s">
        <v>20</v>
      </c>
      <c r="C2" s="18" t="s">
        <v>21</v>
      </c>
      <c r="D2" s="18">
        <v>2.5</v>
      </c>
      <c r="E2" s="18">
        <v>3.5</v>
      </c>
      <c r="F2" s="18" t="s">
        <v>22</v>
      </c>
      <c r="G2" s="18">
        <v>1.5</v>
      </c>
      <c r="H2" s="18">
        <v>2.5</v>
      </c>
      <c r="I2" s="18">
        <v>2.5</v>
      </c>
      <c r="J2" s="18">
        <v>0.375</v>
      </c>
    </row>
    <row r="3" spans="1:10" x14ac:dyDescent="0.25">
      <c r="A3" s="18" t="s">
        <v>23</v>
      </c>
      <c r="B3" s="18" t="s">
        <v>24</v>
      </c>
      <c r="C3" s="18" t="s">
        <v>21</v>
      </c>
      <c r="D3" s="18">
        <v>3.5</v>
      </c>
      <c r="E3" s="18">
        <v>3.5</v>
      </c>
      <c r="F3" s="18" t="s">
        <v>22</v>
      </c>
      <c r="G3" s="18">
        <v>1.5</v>
      </c>
      <c r="H3" s="18">
        <v>2.5</v>
      </c>
      <c r="I3" s="18">
        <v>3.5</v>
      </c>
      <c r="J3" s="18">
        <v>0.46875</v>
      </c>
    </row>
    <row r="4" spans="1:10" x14ac:dyDescent="0.25">
      <c r="A4" s="18" t="s">
        <v>28</v>
      </c>
      <c r="B4" s="18" t="s">
        <v>24</v>
      </c>
      <c r="C4" s="18" t="s">
        <v>25</v>
      </c>
      <c r="D4" s="18">
        <v>2.5</v>
      </c>
      <c r="E4" s="18">
        <v>2.5</v>
      </c>
      <c r="F4" s="18" t="s">
        <v>22</v>
      </c>
      <c r="G4" s="18">
        <v>1.5</v>
      </c>
      <c r="H4" s="18">
        <v>2.5</v>
      </c>
      <c r="I4" s="18">
        <v>2.5</v>
      </c>
      <c r="J4" s="18">
        <v>0.46875</v>
      </c>
    </row>
    <row r="5" spans="1:10" x14ac:dyDescent="0.25">
      <c r="A5" s="18" t="s">
        <v>29</v>
      </c>
      <c r="B5" s="18" t="s">
        <v>20</v>
      </c>
      <c r="C5" s="18" t="s">
        <v>21</v>
      </c>
      <c r="D5" s="18">
        <v>3.5</v>
      </c>
      <c r="E5" s="18">
        <v>3.5</v>
      </c>
      <c r="F5" s="18" t="s">
        <v>22</v>
      </c>
      <c r="G5" s="18">
        <v>1.5</v>
      </c>
      <c r="H5" s="18">
        <v>2.5</v>
      </c>
      <c r="I5" s="18">
        <v>3.5</v>
      </c>
      <c r="J5" s="18">
        <v>0.375</v>
      </c>
    </row>
    <row r="6" spans="1:10" x14ac:dyDescent="0.25">
      <c r="A6" s="18" t="s">
        <v>30</v>
      </c>
      <c r="B6" s="18" t="s">
        <v>20</v>
      </c>
      <c r="C6" s="18" t="s">
        <v>21</v>
      </c>
      <c r="D6" s="18">
        <v>2.5</v>
      </c>
      <c r="E6" s="18">
        <v>2.5</v>
      </c>
      <c r="F6" s="18" t="s">
        <v>22</v>
      </c>
      <c r="G6" s="18">
        <v>1.5</v>
      </c>
      <c r="H6" s="18">
        <v>2.5</v>
      </c>
      <c r="I6" s="18">
        <v>2.5</v>
      </c>
      <c r="J6" s="18">
        <v>0.375</v>
      </c>
    </row>
    <row r="7" spans="1:10" x14ac:dyDescent="0.25">
      <c r="A7" s="18" t="s">
        <v>31</v>
      </c>
      <c r="B7" s="18" t="s">
        <v>26</v>
      </c>
      <c r="C7" s="18" t="s">
        <v>25</v>
      </c>
      <c r="D7" s="18">
        <v>2.5</v>
      </c>
      <c r="E7" s="18">
        <v>2.5</v>
      </c>
      <c r="F7" s="18" t="s">
        <v>22</v>
      </c>
      <c r="G7" s="18">
        <v>1.5</v>
      </c>
      <c r="H7" s="18">
        <v>2.5</v>
      </c>
      <c r="I7" s="18">
        <v>2.5</v>
      </c>
      <c r="J7" s="18">
        <v>0.375</v>
      </c>
    </row>
    <row r="8" spans="1:10" x14ac:dyDescent="0.25">
      <c r="A8" s="18" t="s">
        <v>32</v>
      </c>
      <c r="B8" s="18" t="s">
        <v>20</v>
      </c>
      <c r="C8" s="18" t="s">
        <v>25</v>
      </c>
      <c r="D8" s="18">
        <v>2.5</v>
      </c>
      <c r="E8" s="18">
        <v>2.5</v>
      </c>
      <c r="F8" s="18" t="s">
        <v>22</v>
      </c>
      <c r="G8" s="18">
        <v>1.5</v>
      </c>
      <c r="H8" s="18">
        <v>2.5</v>
      </c>
      <c r="I8" s="18">
        <v>2.5</v>
      </c>
      <c r="J8" s="18">
        <v>0.375</v>
      </c>
    </row>
    <row r="9" spans="1:10" x14ac:dyDescent="0.25">
      <c r="A9" s="18" t="s">
        <v>33</v>
      </c>
      <c r="B9" s="18" t="s">
        <v>24</v>
      </c>
      <c r="C9" s="18" t="s">
        <v>21</v>
      </c>
      <c r="D9" s="18">
        <v>2.5</v>
      </c>
      <c r="E9" s="18">
        <v>2.5</v>
      </c>
      <c r="F9" s="18" t="s">
        <v>22</v>
      </c>
      <c r="G9" s="18">
        <v>1.5</v>
      </c>
      <c r="H9" s="18">
        <v>2.5</v>
      </c>
      <c r="I9" s="18">
        <v>2.5</v>
      </c>
      <c r="J9" s="18">
        <v>0.46875</v>
      </c>
    </row>
    <row r="10" spans="1:10" x14ac:dyDescent="0.25">
      <c r="A10" s="18" t="s">
        <v>34</v>
      </c>
      <c r="B10" s="18" t="s">
        <v>26</v>
      </c>
      <c r="C10" s="18" t="s">
        <v>21</v>
      </c>
      <c r="D10" s="18">
        <v>2.5</v>
      </c>
      <c r="E10" s="18">
        <v>2.5</v>
      </c>
      <c r="F10" s="18" t="s">
        <v>22</v>
      </c>
      <c r="G10" s="18">
        <v>1.5</v>
      </c>
      <c r="H10" s="18">
        <v>2.5</v>
      </c>
      <c r="I10" s="18">
        <v>2.5</v>
      </c>
      <c r="J10" s="18">
        <v>0.375</v>
      </c>
    </row>
    <row r="11" spans="1:10" x14ac:dyDescent="0.25">
      <c r="A11" s="18" t="s">
        <v>35</v>
      </c>
      <c r="B11" s="18" t="s">
        <v>36</v>
      </c>
      <c r="C11" s="18" t="s">
        <v>21</v>
      </c>
      <c r="D11" s="18">
        <v>2.5</v>
      </c>
      <c r="E11" s="18">
        <v>2.5</v>
      </c>
      <c r="F11" s="18" t="s">
        <v>22</v>
      </c>
      <c r="G11" s="18">
        <v>1.5</v>
      </c>
      <c r="H11" s="18">
        <v>2.5</v>
      </c>
      <c r="I11" s="18">
        <v>2.5</v>
      </c>
      <c r="J11" s="18">
        <v>0.375</v>
      </c>
    </row>
    <row r="12" spans="1:10" x14ac:dyDescent="0.25">
      <c r="A12" s="18" t="s">
        <v>37</v>
      </c>
      <c r="B12" s="18" t="s">
        <v>26</v>
      </c>
      <c r="C12" s="18" t="s">
        <v>21</v>
      </c>
      <c r="D12" s="18">
        <v>3.5</v>
      </c>
      <c r="E12" s="18">
        <v>3.5</v>
      </c>
      <c r="F12" s="18" t="s">
        <v>22</v>
      </c>
      <c r="G12" s="18">
        <v>1.5</v>
      </c>
      <c r="H12" s="18">
        <v>2.5</v>
      </c>
      <c r="I12" s="18">
        <v>3.5</v>
      </c>
      <c r="J12" s="18">
        <v>0.375</v>
      </c>
    </row>
    <row r="13" spans="1:10" x14ac:dyDescent="0.25">
      <c r="A13" s="18" t="s">
        <v>38</v>
      </c>
      <c r="B13" s="18" t="s">
        <v>36</v>
      </c>
      <c r="C13" s="18" t="s">
        <v>27</v>
      </c>
      <c r="D13" s="18">
        <v>2.5</v>
      </c>
      <c r="E13" s="18">
        <v>2.5</v>
      </c>
      <c r="F13" s="18" t="s">
        <v>22</v>
      </c>
      <c r="G13" s="18">
        <v>1.5</v>
      </c>
      <c r="H13" s="18">
        <v>2.5</v>
      </c>
      <c r="I13" s="18">
        <v>2.5</v>
      </c>
      <c r="J13" s="18">
        <v>0.375</v>
      </c>
    </row>
    <row r="14" spans="1:10" x14ac:dyDescent="0.25">
      <c r="A14" s="18" t="s">
        <v>39</v>
      </c>
      <c r="B14" s="18" t="s">
        <v>24</v>
      </c>
      <c r="C14" s="18" t="s">
        <v>21</v>
      </c>
      <c r="D14" s="18">
        <v>2.5</v>
      </c>
      <c r="E14" s="18">
        <v>2.5</v>
      </c>
      <c r="F14" s="18" t="s">
        <v>22</v>
      </c>
      <c r="G14" s="18">
        <v>1.5</v>
      </c>
      <c r="H14" s="18">
        <v>2.5</v>
      </c>
      <c r="I14" s="18">
        <v>2.5</v>
      </c>
      <c r="J14" s="18">
        <v>0.46875</v>
      </c>
    </row>
    <row r="15" spans="1:10" x14ac:dyDescent="0.25">
      <c r="A15" s="18" t="s">
        <v>40</v>
      </c>
      <c r="B15" s="18" t="s">
        <v>24</v>
      </c>
      <c r="C15" s="18" t="s">
        <v>27</v>
      </c>
      <c r="D15" s="18">
        <v>2.5</v>
      </c>
      <c r="E15" s="18">
        <v>2.5</v>
      </c>
      <c r="F15" s="18" t="s">
        <v>22</v>
      </c>
      <c r="G15" s="18">
        <v>1.5</v>
      </c>
      <c r="H15" s="18">
        <v>2.5</v>
      </c>
      <c r="I15" s="18">
        <v>2.5</v>
      </c>
      <c r="J15" s="18">
        <v>0.46875</v>
      </c>
    </row>
    <row r="16" spans="1:10" x14ac:dyDescent="0.25">
      <c r="A16" s="18" t="s">
        <v>46</v>
      </c>
      <c r="B16" s="18" t="s">
        <v>47</v>
      </c>
      <c r="C16" s="18" t="s">
        <v>27</v>
      </c>
      <c r="D16" s="18">
        <v>1.75</v>
      </c>
      <c r="E16" s="18">
        <v>1.75</v>
      </c>
      <c r="F16" s="18" t="s">
        <v>22</v>
      </c>
      <c r="G16" s="18">
        <v>1.75</v>
      </c>
      <c r="H16" s="18">
        <v>1.75</v>
      </c>
      <c r="I16" s="18">
        <v>1.75</v>
      </c>
      <c r="J16" s="18">
        <v>0.375</v>
      </c>
    </row>
    <row r="17" spans="1:10" x14ac:dyDescent="0.25">
      <c r="A17" s="18" t="s">
        <v>41</v>
      </c>
      <c r="B17" s="18" t="s">
        <v>24</v>
      </c>
      <c r="C17" s="18" t="s">
        <v>21</v>
      </c>
      <c r="D17" s="18">
        <v>2.5</v>
      </c>
      <c r="E17" s="18">
        <v>2.5</v>
      </c>
      <c r="F17" s="18" t="s">
        <v>22</v>
      </c>
      <c r="G17" s="18">
        <v>1.5</v>
      </c>
      <c r="H17" s="18">
        <v>2.5</v>
      </c>
      <c r="I17" s="18">
        <v>2.5</v>
      </c>
      <c r="J17" s="18">
        <v>0.46875</v>
      </c>
    </row>
    <row r="18" spans="1:10" x14ac:dyDescent="0.25">
      <c r="A18" s="18" t="s">
        <v>42</v>
      </c>
      <c r="B18" s="18" t="s">
        <v>26</v>
      </c>
      <c r="C18" s="18" t="s">
        <v>27</v>
      </c>
      <c r="D18" s="18">
        <v>2.5</v>
      </c>
      <c r="E18" s="18">
        <v>2.5</v>
      </c>
      <c r="F18" s="18" t="s">
        <v>22</v>
      </c>
      <c r="G18" s="18">
        <v>1.5</v>
      </c>
      <c r="H18" s="18">
        <v>2.5</v>
      </c>
      <c r="I18" s="18">
        <v>2.5</v>
      </c>
      <c r="J18" s="18">
        <v>0.375</v>
      </c>
    </row>
    <row r="19" spans="1:10" x14ac:dyDescent="0.25">
      <c r="A19" s="18" t="s">
        <v>43</v>
      </c>
      <c r="B19" s="18" t="s">
        <v>24</v>
      </c>
      <c r="C19" s="18" t="s">
        <v>21</v>
      </c>
      <c r="D19" s="18">
        <v>2.5</v>
      </c>
      <c r="E19" s="18">
        <v>2.5</v>
      </c>
      <c r="F19" s="18" t="s">
        <v>22</v>
      </c>
      <c r="G19" s="18">
        <v>0</v>
      </c>
      <c r="H19" s="18">
        <v>0</v>
      </c>
      <c r="I19" s="18">
        <v>0</v>
      </c>
      <c r="J19" s="18">
        <v>0.46875</v>
      </c>
    </row>
    <row r="20" spans="1:10" x14ac:dyDescent="0.25">
      <c r="A20" s="18" t="s">
        <v>44</v>
      </c>
      <c r="B20" s="18" t="s">
        <v>20</v>
      </c>
      <c r="C20" s="18" t="s">
        <v>27</v>
      </c>
      <c r="D20" s="18">
        <v>2.5</v>
      </c>
      <c r="E20" s="18">
        <v>2.5</v>
      </c>
      <c r="F20" s="18" t="s">
        <v>22</v>
      </c>
      <c r="G20" s="18">
        <v>1.5</v>
      </c>
      <c r="H20" s="18">
        <v>2.5</v>
      </c>
      <c r="I20" s="18">
        <v>2.5</v>
      </c>
      <c r="J20" s="18">
        <v>0.375</v>
      </c>
    </row>
  </sheetData>
  <sheetProtection algorithmName="SHA-512" hashValue="E0ed1a2r0mJjLgJfldWtviafQBZmYErcXeCYVRxuAv1TqZhBo1l8Yf2PA4b4/XId87wn56kYqnlQ3W2AiQILKA==" saltValue="tkmMtg+5o9fzanH9T2diO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APPL PNL</vt:lpstr>
      <vt:lpstr>Table</vt:lpstr>
      <vt:lpstr>railwidth</vt:lpstr>
      <vt:lpstr>stilewidth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Perry</dc:creator>
  <cp:lastModifiedBy>Anne Alderfer</cp:lastModifiedBy>
  <cp:lastPrinted>2025-10-16T13:04:09Z</cp:lastPrinted>
  <dcterms:created xsi:type="dcterms:W3CDTF">2025-10-16T12:49:09Z</dcterms:created>
  <dcterms:modified xsi:type="dcterms:W3CDTF">2026-06-24T15:01:58Z</dcterms:modified>
</cp:coreProperties>
</file>